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worksheets/sheet12.xml" ContentType="application/vnd.openxmlformats-officedocument.spreadsheetml.worksheet+xml"/>
  <Override PartName="/xl/chartsheets/sheet2.xml" ContentType="application/vnd.openxmlformats-officedocument.spreadsheetml.chartsheet+xml"/>
  <Override PartName="/xl/chartsheets/sheet3.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omments4.xml" ContentType="application/vnd.openxmlformats-officedocument.spreadsheetml.comments+xml"/>
  <Override PartName="/xl/threadedComments/threadedComment3.xml" ContentType="application/vnd.ms-excel.threadedcomment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omments5.xml" ContentType="application/vnd.openxmlformats-officedocument.spreadsheetml.comments+xml"/>
  <Override PartName="/xl/threadedComments/threadedComment4.xml" ContentType="application/vnd.ms-excel.threadedcomments+xml"/>
  <Override PartName="/xl/comments6.xml" ContentType="application/vnd.openxmlformats-officedocument.spreadsheetml.comments+xml"/>
  <Override PartName="/xl/threadedComments/threadedComment5.xml" ContentType="application/vnd.ms-excel.threadedcomments+xml"/>
  <Override PartName="/xl/comments7.xml" ContentType="application/vnd.openxmlformats-officedocument.spreadsheetml.comments+xml"/>
  <Override PartName="/xl/threadedComments/threadedComment6.xml" ContentType="application/vnd.ms-excel.threadedcomments+xml"/>
  <Override PartName="/xl/comments8.xml" ContentType="application/vnd.openxmlformats-officedocument.spreadsheetml.comments+xml"/>
  <Override PartName="/xl/threadedComments/threadedComment7.xml" ContentType="application/vnd.ms-excel.threadedcomments+xml"/>
  <Override PartName="/xl/drawings/drawing6.xml" ContentType="application/vnd.openxmlformats-officedocument.drawing+xml"/>
  <Override PartName="/xl/comments9.xml" ContentType="application/vnd.openxmlformats-officedocument.spreadsheetml.comments+xml"/>
  <Override PartName="/xl/threadedComments/threadedComment8.xml" ContentType="application/vnd.ms-excel.threadedcomment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omments10.xml" ContentType="application/vnd.openxmlformats-officedocument.spreadsheetml.comments+xml"/>
  <Override PartName="/xl/threadedComments/threadedComment9.xml" ContentType="application/vnd.ms-excel.threadedcomments+xml"/>
  <Override PartName="/xl/drawings/drawing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24226"/>
  <mc:AlternateContent xmlns:mc="http://schemas.openxmlformats.org/markup-compatibility/2006">
    <mc:Choice Requires="x15">
      <x15ac:absPath xmlns:x15ac="http://schemas.microsoft.com/office/spreadsheetml/2010/11/ac" url="https://siriuscontrols.sharepoint.com/sites/Sales/Quotes/Templates/"/>
    </mc:Choice>
  </mc:AlternateContent>
  <xr:revisionPtr revIDLastSave="121" documentId="13_ncr:1_{D6AD0107-27EF-4E00-965A-54B234D93A49}" xr6:coauthVersionLast="47" xr6:coauthVersionMax="47" xr10:uidLastSave="{6A9D322E-6EF1-48EC-9D1A-14227DB759C7}"/>
  <workbookProtection workbookAlgorithmName="SHA-512" workbookHashValue="Enzep13MbhZmlBU/FEF9wEToy6Dp8r5DFWIhWHlI+ubzWCVr58CW5wa9GiIepeibjIUscd5H8x+qZQgTFKn2xQ==" workbookSaltValue="ek3tJvxmpLbNIqZD8uRDXQ==" workbookSpinCount="100000" lockStructure="1"/>
  <bookViews>
    <workbookView xWindow="-120" yWindow="-120" windowWidth="29040" windowHeight="15840" xr2:uid="{1FCF5C92-C5F2-4B0D-8371-079044E1BF5D}"/>
  </bookViews>
  <sheets>
    <sheet name="PumpSize" sheetId="5" r:id="rId1"/>
    <sheet name="CalData-FUS" sheetId="12" state="hidden" r:id="rId2"/>
    <sheet name="SOLAR_DATA" sheetId="34" state="hidden" r:id="rId3"/>
    <sheet name="COMET2_SH300" sheetId="35" state="hidden" r:id="rId4"/>
    <sheet name="COMET2_DH300" sheetId="36" state="hidden" r:id="rId5"/>
    <sheet name="COMET2_HP-DH500" sheetId="37" state="hidden" r:id="rId6"/>
    <sheet name="F2_300_SH" sheetId="31" state="hidden" r:id="rId7"/>
    <sheet name="F2_300_DH" sheetId="30" state="hidden" r:id="rId8"/>
    <sheet name="F2_500_SH" sheetId="28" state="hidden" r:id="rId9"/>
    <sheet name="F2_500_DH" sheetId="33" state="hidden" r:id="rId10"/>
    <sheet name="DH -COMET_100" sheetId="24" state="hidden" r:id="rId11"/>
    <sheet name="DH_COMET_100 PLOTS" sheetId="25" state="hidden" r:id="rId12"/>
    <sheet name="DH -F2_100" sheetId="26" state="hidden" r:id="rId13"/>
    <sheet name="DH_F2_100 PLOTS" sheetId="27" state="hidden" r:id="rId14"/>
    <sheet name="Pump Curves" sheetId="19" r:id="rId15"/>
  </sheets>
  <definedNames>
    <definedName name="__RPM1" localSheetId="4">COMET2_DH300!$B$95</definedName>
    <definedName name="__RPM1" localSheetId="5">'COMET2_HP-DH500'!$B$95</definedName>
    <definedName name="__RPM1" localSheetId="3">COMET2_SH300!$B$95</definedName>
    <definedName name="__RPM1" localSheetId="10">'DH -COMET_100'!$B$95</definedName>
    <definedName name="__RPM1" localSheetId="12">'DH -F2_100'!$B$95</definedName>
    <definedName name="__RPM1" localSheetId="7">F2_300_DH!$B$95</definedName>
    <definedName name="__RPM1" localSheetId="6">F2_300_SH!$B$95</definedName>
    <definedName name="__RPM1" localSheetId="9">F2_500_DH!$B$95</definedName>
    <definedName name="__RPM1" localSheetId="8">F2_500_SH!$B$95</definedName>
    <definedName name="__RPM1">#REF!</definedName>
    <definedName name="AmpD">OFFSET(#REF!,1,0,#REF!,1)</definedName>
    <definedName name="Bat.Cap">PumpSize!$G$17</definedName>
    <definedName name="Bat.Cap.Req">PumpSize!$G$46</definedName>
    <definedName name="Bias">#REF!</definedName>
    <definedName name="C.0.DH.I">#REF!</definedName>
    <definedName name="C.0.DH.Q">#REF!</definedName>
    <definedName name="C.0.SH.I">#REF!</definedName>
    <definedName name="C.0.SH.Q">#REF!</definedName>
    <definedName name="C.1.DH.I">#REF!</definedName>
    <definedName name="C.1.DH.Q">#REF!</definedName>
    <definedName name="C.1.SH.I">#REF!</definedName>
    <definedName name="C.1.SH.Q">#REF!</definedName>
    <definedName name="C.2.DH.I">#REF!</definedName>
    <definedName name="C.2.DH.Q">#REF!</definedName>
    <definedName name="C.2.SH.I">#REF!</definedName>
    <definedName name="C.2.SH.Q">#REF!</definedName>
    <definedName name="datalist">'CalData-FUS'!$B$3:$B$21</definedName>
    <definedName name="Duty">PumpSize!#REF!</definedName>
    <definedName name="F.disch">PumpSize!$Q$85</definedName>
    <definedName name="F.temp">PumpSize!$Q$84</definedName>
    <definedName name="Flow">#REF!</definedName>
    <definedName name="FlowD">OFFSET(#REF!,1,0,#REF!,1)</definedName>
    <definedName name="Fluid">PumpSize!#REF!</definedName>
    <definedName name="I.Avg">PumpSize!$G$43</definedName>
    <definedName name="I.Panel.Max">PumpSize!#REF!</definedName>
    <definedName name="I.Pavg">PumpSize!$G$42</definedName>
    <definedName name="I.Standby">PumpSize!#REF!</definedName>
    <definedName name="Insight">PumpSize!$G$14</definedName>
    <definedName name="Locn">PumpSize!#REF!</definedName>
    <definedName name="MPPT">PumpSize!$G$16</definedName>
    <definedName name="N.Panels">PumpSize!#REF!</definedName>
    <definedName name="OnTime.Nominal">#REF!</definedName>
    <definedName name="OnTime.Q2">#REF!</definedName>
    <definedName name="OnTime.Q3">#REF!</definedName>
    <definedName name="OnTime.Q4">#REF!</definedName>
    <definedName name="OnTime.QMax">#REF!</definedName>
    <definedName name="OnTime.QMin">#REF!</definedName>
    <definedName name="Pavg">PumpSize!$Q$40</definedName>
    <definedName name="Pmax">#REF!</definedName>
    <definedName name="Pmin">#REF!</definedName>
    <definedName name="Press1" localSheetId="4">COMET2_DH300!$B$96</definedName>
    <definedName name="Press1" localSheetId="5">'COMET2_HP-DH500'!$B$96</definedName>
    <definedName name="Press1" localSheetId="3">COMET2_SH300!$B$96</definedName>
    <definedName name="Press1" localSheetId="10">'DH -COMET_100'!$B$96</definedName>
    <definedName name="Press1" localSheetId="12">'DH -F2_100'!$B$96</definedName>
    <definedName name="Press1" localSheetId="7">F2_300_DH!$B$96</definedName>
    <definedName name="Press1" localSheetId="6">F2_300_SH!$B$96</definedName>
    <definedName name="Press1" localSheetId="9">F2_500_DH!$B$96</definedName>
    <definedName name="Press1" localSheetId="8">F2_500_SH!$B$96</definedName>
    <definedName name="Press1">#REF!</definedName>
    <definedName name="PressD">OFFSET(#REF!,1,0,#REF!,1)</definedName>
    <definedName name="Pressure">#REF!</definedName>
    <definedName name="_xlnm.Print_Area" localSheetId="4">COMET2_DH300!$A$1:$N$61</definedName>
    <definedName name="_xlnm.Print_Area" localSheetId="5">'COMET2_HP-DH500'!$A$1:$N$61</definedName>
    <definedName name="_xlnm.Print_Area" localSheetId="3">COMET2_SH300!$A$1:$N$61</definedName>
    <definedName name="_xlnm.Print_Area" localSheetId="10">'DH -COMET_100'!$A$1:$N$61</definedName>
    <definedName name="_xlnm.Print_Area" localSheetId="12">'DH -F2_100'!$A$1:$N$61</definedName>
    <definedName name="_xlnm.Print_Area" localSheetId="7">F2_300_DH!$A$1:$N$61</definedName>
    <definedName name="_xlnm.Print_Area" localSheetId="6">F2_300_SH!$A$1:$N$61</definedName>
    <definedName name="_xlnm.Print_Area" localSheetId="9">F2_500_DH!$A$1:$N$61</definedName>
    <definedName name="_xlnm.Print_Area" localSheetId="8">F2_500_SH!$A$1:$N$61</definedName>
    <definedName name="Pwr.10.Day">PumpSize!$G$45</definedName>
    <definedName name="Pwr.Day">PumpSize!$G$44</definedName>
    <definedName name="Pwr.Panel">PumpSize!#REF!</definedName>
    <definedName name="Q">PumpSize!$P$12</definedName>
    <definedName name="Q.1">#REF!</definedName>
    <definedName name="Q.2">#REF!</definedName>
    <definedName name="Q.3">#REF!</definedName>
    <definedName name="Q.4">#REF!</definedName>
    <definedName name="Q.max">#REF!</definedName>
    <definedName name="Q.min">#REF!</definedName>
    <definedName name="Q.Pavg">PumpSize!$G$39</definedName>
    <definedName name="Q.Rnd">#REF!</definedName>
    <definedName name="Rechrg.I">PumpSize!#REF!</definedName>
    <definedName name="Rechrg.Time">PumpSize!$G$32</definedName>
    <definedName name="t.cycle">PumpSize!$G$14</definedName>
    <definedName name="t.Off">PumpSize!#REF!</definedName>
    <definedName name="t.On">PumpSize!#REF!</definedName>
    <definedName name="V.Panel">PumpSize!$R$28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4" i="24" l="1"/>
  <c r="M104" i="24"/>
  <c r="N104" i="24"/>
  <c r="O104" i="24"/>
  <c r="P104" i="24"/>
  <c r="L105" i="24"/>
  <c r="M105" i="24"/>
  <c r="N105" i="24"/>
  <c r="O105" i="24"/>
  <c r="P105" i="24"/>
  <c r="K105" i="24"/>
  <c r="K104" i="24"/>
  <c r="N79" i="24"/>
  <c r="O79" i="24"/>
  <c r="P79" i="24"/>
  <c r="Q79" i="24"/>
  <c r="N80" i="24"/>
  <c r="O80" i="24"/>
  <c r="P80" i="24"/>
  <c r="Q80" i="24"/>
  <c r="N81" i="24"/>
  <c r="O81" i="24"/>
  <c r="P81" i="24"/>
  <c r="Q81" i="24"/>
  <c r="N82" i="24"/>
  <c r="O82" i="24"/>
  <c r="P82" i="24"/>
  <c r="Q82" i="24"/>
  <c r="N83" i="24"/>
  <c r="O83" i="24"/>
  <c r="P83" i="24"/>
  <c r="Q83" i="24"/>
  <c r="Q78" i="24"/>
  <c r="P78" i="24"/>
  <c r="O78" i="24"/>
  <c r="N78" i="24"/>
  <c r="N80" i="35"/>
  <c r="O80" i="35"/>
  <c r="P80" i="35"/>
  <c r="Q80" i="35"/>
  <c r="N81" i="35"/>
  <c r="O81" i="35"/>
  <c r="P81" i="35"/>
  <c r="Q81" i="35"/>
  <c r="N82" i="35"/>
  <c r="O82" i="35"/>
  <c r="P82" i="35"/>
  <c r="Q82" i="35"/>
  <c r="N83" i="35"/>
  <c r="O83" i="35"/>
  <c r="P83" i="35"/>
  <c r="Q83" i="35"/>
  <c r="N84" i="35"/>
  <c r="O84" i="35"/>
  <c r="P84" i="35"/>
  <c r="Q84" i="35"/>
  <c r="Q79" i="35"/>
  <c r="P79" i="35"/>
  <c r="O79" i="35"/>
  <c r="N79" i="35"/>
  <c r="M85" i="36"/>
  <c r="N85" i="36"/>
  <c r="M86" i="36"/>
  <c r="N86" i="36"/>
  <c r="M87" i="36"/>
  <c r="N87" i="36"/>
  <c r="M88" i="36"/>
  <c r="N88" i="36"/>
  <c r="M89" i="36"/>
  <c r="N89" i="36"/>
  <c r="N84" i="36"/>
  <c r="M84" i="36"/>
  <c r="P85" i="36"/>
  <c r="P86" i="36"/>
  <c r="P87" i="36"/>
  <c r="P88" i="36"/>
  <c r="P89" i="36"/>
  <c r="P84" i="36"/>
  <c r="O85" i="36"/>
  <c r="O86" i="36"/>
  <c r="O87" i="36"/>
  <c r="O88" i="36"/>
  <c r="O89" i="36"/>
  <c r="O84" i="36"/>
  <c r="G35" i="5" l="1"/>
  <c r="G34" i="5"/>
  <c r="G33" i="5"/>
  <c r="E51" i="35" l="1"/>
  <c r="E50" i="35"/>
  <c r="E49" i="35"/>
  <c r="E48" i="35"/>
  <c r="E47" i="35"/>
  <c r="E46" i="35"/>
  <c r="E44" i="35"/>
  <c r="E43" i="35"/>
  <c r="E42" i="35"/>
  <c r="E41" i="35"/>
  <c r="E40" i="35"/>
  <c r="E39" i="35"/>
  <c r="E37" i="35"/>
  <c r="E36" i="35"/>
  <c r="E35" i="35"/>
  <c r="E34" i="35"/>
  <c r="E33" i="35"/>
  <c r="E32" i="35"/>
  <c r="E30" i="35"/>
  <c r="E29" i="35"/>
  <c r="E28" i="35"/>
  <c r="E27" i="35"/>
  <c r="E26" i="35"/>
  <c r="E25" i="35"/>
  <c r="E23" i="35"/>
  <c r="D92" i="35" s="1"/>
  <c r="E22" i="35"/>
  <c r="E21" i="35"/>
  <c r="D90" i="35" s="1"/>
  <c r="E20" i="35"/>
  <c r="E19" i="35"/>
  <c r="E18" i="35"/>
  <c r="E16" i="35"/>
  <c r="C92" i="35" s="1"/>
  <c r="E15" i="35"/>
  <c r="E14" i="35"/>
  <c r="C90" i="35" s="1"/>
  <c r="E13" i="35"/>
  <c r="C89" i="35" s="1"/>
  <c r="E12" i="35"/>
  <c r="E11" i="35"/>
  <c r="E51" i="36"/>
  <c r="E50" i="36"/>
  <c r="E49" i="36"/>
  <c r="E48" i="36"/>
  <c r="E47" i="36"/>
  <c r="E46" i="36"/>
  <c r="E44" i="36"/>
  <c r="E43" i="36"/>
  <c r="E42" i="36"/>
  <c r="E41" i="36"/>
  <c r="E40" i="36"/>
  <c r="E39" i="36"/>
  <c r="E37" i="36"/>
  <c r="E36" i="36"/>
  <c r="E35" i="36"/>
  <c r="E34" i="36"/>
  <c r="E33" i="36"/>
  <c r="E32" i="36"/>
  <c r="E30" i="36"/>
  <c r="E29" i="36"/>
  <c r="E28" i="36"/>
  <c r="E27" i="36"/>
  <c r="E26" i="36"/>
  <c r="E25" i="36"/>
  <c r="E23" i="36"/>
  <c r="E22" i="36"/>
  <c r="D91" i="36" s="1"/>
  <c r="E21" i="36"/>
  <c r="E20" i="36"/>
  <c r="E19" i="36"/>
  <c r="D88" i="36" s="1"/>
  <c r="E18" i="36"/>
  <c r="E16" i="36"/>
  <c r="E15" i="36"/>
  <c r="E14" i="36"/>
  <c r="C90" i="36" s="1"/>
  <c r="E13" i="36"/>
  <c r="C89" i="36" s="1"/>
  <c r="E12" i="36"/>
  <c r="C88" i="36" s="1"/>
  <c r="E11" i="36"/>
  <c r="J6" i="24"/>
  <c r="J5" i="24"/>
  <c r="J7" i="24" s="1"/>
  <c r="J6" i="33"/>
  <c r="J7" i="33" s="1"/>
  <c r="J5" i="33"/>
  <c r="J6" i="28"/>
  <c r="J5" i="28"/>
  <c r="J7" i="28" s="1"/>
  <c r="J6" i="30"/>
  <c r="J5" i="30"/>
  <c r="J7" i="30" s="1"/>
  <c r="J6" i="31"/>
  <c r="J5" i="31"/>
  <c r="J7" i="31" s="1"/>
  <c r="J6" i="35"/>
  <c r="J5" i="35"/>
  <c r="J7" i="35" s="1"/>
  <c r="J7" i="36"/>
  <c r="J6" i="36"/>
  <c r="J5" i="36"/>
  <c r="L66" i="37"/>
  <c r="L67" i="37"/>
  <c r="L68" i="37"/>
  <c r="L69" i="37"/>
  <c r="L70" i="37"/>
  <c r="L65" i="37"/>
  <c r="M66" i="37"/>
  <c r="M67" i="37"/>
  <c r="M68" i="37"/>
  <c r="M69" i="37"/>
  <c r="M70" i="37"/>
  <c r="M65" i="37"/>
  <c r="E47" i="37"/>
  <c r="E48" i="37"/>
  <c r="E49" i="37"/>
  <c r="E50" i="37"/>
  <c r="E51" i="37"/>
  <c r="E46" i="37"/>
  <c r="E40" i="37"/>
  <c r="E41" i="37"/>
  <c r="E42" i="37"/>
  <c r="E43" i="37"/>
  <c r="E44" i="37"/>
  <c r="E39" i="37"/>
  <c r="E33" i="37"/>
  <c r="E34" i="37"/>
  <c r="E35" i="37"/>
  <c r="E36" i="37"/>
  <c r="E37" i="37"/>
  <c r="E32" i="37"/>
  <c r="E26" i="37"/>
  <c r="E27" i="37"/>
  <c r="E28" i="37"/>
  <c r="E29" i="37"/>
  <c r="E30" i="37"/>
  <c r="E25" i="37"/>
  <c r="E19" i="37"/>
  <c r="E20" i="37"/>
  <c r="E21" i="37"/>
  <c r="E22" i="37"/>
  <c r="E23" i="37"/>
  <c r="E18" i="37"/>
  <c r="E16" i="37"/>
  <c r="E15" i="37"/>
  <c r="E14" i="37"/>
  <c r="E13" i="37"/>
  <c r="E12" i="37"/>
  <c r="C88" i="37" s="1"/>
  <c r="E11" i="37"/>
  <c r="J6" i="37"/>
  <c r="J5" i="37"/>
  <c r="D92" i="36"/>
  <c r="V22" i="5"/>
  <c r="V23" i="5"/>
  <c r="A92" i="37"/>
  <c r="A91" i="37"/>
  <c r="A90" i="37"/>
  <c r="A89" i="37"/>
  <c r="A88" i="37"/>
  <c r="A87" i="37"/>
  <c r="Q70" i="37"/>
  <c r="K70" i="37"/>
  <c r="K69" i="37"/>
  <c r="O68" i="37"/>
  <c r="K68" i="37"/>
  <c r="Q67" i="37"/>
  <c r="N67" i="37"/>
  <c r="K67" i="37"/>
  <c r="K66" i="37"/>
  <c r="K65" i="37"/>
  <c r="I51" i="37"/>
  <c r="M51" i="37" s="1"/>
  <c r="B51" i="37"/>
  <c r="A51" i="37"/>
  <c r="AA50" i="37"/>
  <c r="I50" i="37"/>
  <c r="Q69" i="37" s="1"/>
  <c r="B50" i="37"/>
  <c r="A50" i="37"/>
  <c r="AA49" i="37"/>
  <c r="I49" i="37"/>
  <c r="Q68" i="37" s="1"/>
  <c r="B49" i="37"/>
  <c r="A49" i="37"/>
  <c r="AA48" i="37"/>
  <c r="I48" i="37"/>
  <c r="B48" i="37"/>
  <c r="A48" i="37"/>
  <c r="AA47" i="37"/>
  <c r="I47" i="37"/>
  <c r="Q66" i="37" s="1"/>
  <c r="B47" i="37"/>
  <c r="A47" i="37"/>
  <c r="I46" i="37"/>
  <c r="B46" i="37"/>
  <c r="H86" i="37" s="1"/>
  <c r="I86" i="37" s="1"/>
  <c r="A46" i="37"/>
  <c r="I44" i="37"/>
  <c r="P70" i="37" s="1"/>
  <c r="B44" i="37"/>
  <c r="A44" i="37"/>
  <c r="AA43" i="37"/>
  <c r="I43" i="37"/>
  <c r="P69" i="37" s="1"/>
  <c r="A43" i="37"/>
  <c r="J43" i="37" s="1"/>
  <c r="K43" i="37" s="1"/>
  <c r="AA42" i="37"/>
  <c r="I42" i="37"/>
  <c r="P68" i="37" s="1"/>
  <c r="A42" i="37"/>
  <c r="AA41" i="37"/>
  <c r="I41" i="37"/>
  <c r="B41" i="37"/>
  <c r="A41" i="37"/>
  <c r="AA40" i="37"/>
  <c r="I40" i="37"/>
  <c r="M40" i="37" s="1"/>
  <c r="B40" i="37"/>
  <c r="A40" i="37"/>
  <c r="I39" i="37"/>
  <c r="J39" i="37" s="1"/>
  <c r="B39" i="37"/>
  <c r="G86" i="37" s="1"/>
  <c r="A39" i="37"/>
  <c r="I37" i="37"/>
  <c r="O70" i="37" s="1"/>
  <c r="A37" i="37"/>
  <c r="AA36" i="37"/>
  <c r="I36" i="37"/>
  <c r="M36" i="37" s="1"/>
  <c r="A36" i="37"/>
  <c r="AA35" i="37"/>
  <c r="I35" i="37"/>
  <c r="M35" i="37" s="1"/>
  <c r="A35" i="37"/>
  <c r="AA34" i="37"/>
  <c r="I34" i="37"/>
  <c r="M34" i="37" s="1"/>
  <c r="A34" i="37"/>
  <c r="AA33" i="37"/>
  <c r="I33" i="37"/>
  <c r="O66" i="37" s="1"/>
  <c r="A33" i="37"/>
  <c r="I32" i="37"/>
  <c r="O65" i="37" s="1"/>
  <c r="A32" i="37"/>
  <c r="I30" i="37"/>
  <c r="N70" i="37" s="1"/>
  <c r="A30" i="37"/>
  <c r="AA29" i="37"/>
  <c r="I29" i="37"/>
  <c r="M29" i="37" s="1"/>
  <c r="A29" i="37"/>
  <c r="AA28" i="37"/>
  <c r="I28" i="37"/>
  <c r="M28" i="37" s="1"/>
  <c r="A28" i="37"/>
  <c r="AA27" i="37"/>
  <c r="I27" i="37"/>
  <c r="A27" i="37"/>
  <c r="AA26" i="37"/>
  <c r="I26" i="37"/>
  <c r="N66" i="37" s="1"/>
  <c r="A26" i="37"/>
  <c r="J25" i="37"/>
  <c r="I25" i="37"/>
  <c r="N65" i="37" s="1"/>
  <c r="A25" i="37"/>
  <c r="I23" i="37"/>
  <c r="A23" i="37"/>
  <c r="AA22" i="37"/>
  <c r="I22" i="37"/>
  <c r="A22" i="37"/>
  <c r="AA21" i="37"/>
  <c r="I21" i="37"/>
  <c r="D90" i="37"/>
  <c r="B21" i="37"/>
  <c r="A21" i="37"/>
  <c r="AA20" i="37"/>
  <c r="I20" i="37"/>
  <c r="A20" i="37"/>
  <c r="AA19" i="37"/>
  <c r="I19" i="37"/>
  <c r="M21" i="37" s="1"/>
  <c r="D88" i="37"/>
  <c r="B19" i="37"/>
  <c r="A19" i="37"/>
  <c r="I18" i="37"/>
  <c r="B18" i="37"/>
  <c r="A18" i="37"/>
  <c r="I16" i="37"/>
  <c r="A16" i="37"/>
  <c r="AA15" i="37"/>
  <c r="I15" i="37"/>
  <c r="B15" i="37"/>
  <c r="A15" i="37"/>
  <c r="AA14" i="37"/>
  <c r="I14" i="37"/>
  <c r="C90" i="37"/>
  <c r="B14" i="37"/>
  <c r="A14" i="37"/>
  <c r="AA13" i="37"/>
  <c r="I13" i="37"/>
  <c r="C89" i="37"/>
  <c r="A13" i="37"/>
  <c r="AA12" i="37"/>
  <c r="I12" i="37"/>
  <c r="M13" i="37" s="1"/>
  <c r="A12" i="37"/>
  <c r="I11" i="37"/>
  <c r="J11" i="37" s="1"/>
  <c r="A11" i="37"/>
  <c r="AA10" i="37"/>
  <c r="AA9" i="37"/>
  <c r="P7" i="37"/>
  <c r="B42" i="37" s="1"/>
  <c r="P6" i="37"/>
  <c r="B34" i="37" s="1"/>
  <c r="C6" i="37"/>
  <c r="P5" i="37"/>
  <c r="B30" i="37" s="1"/>
  <c r="P4" i="37"/>
  <c r="B20" i="37" s="1"/>
  <c r="P3" i="37"/>
  <c r="B11" i="37" s="1"/>
  <c r="A92" i="36"/>
  <c r="A91" i="36"/>
  <c r="A90" i="36"/>
  <c r="A89" i="36"/>
  <c r="A88" i="36"/>
  <c r="A87" i="36"/>
  <c r="K70" i="36"/>
  <c r="K69" i="36"/>
  <c r="K68" i="36"/>
  <c r="Q67" i="36"/>
  <c r="K67" i="36"/>
  <c r="K66" i="36"/>
  <c r="K65" i="36"/>
  <c r="I51" i="36"/>
  <c r="Q70" i="36" s="1"/>
  <c r="B51" i="36"/>
  <c r="A51" i="36"/>
  <c r="AA50" i="36"/>
  <c r="I50" i="36"/>
  <c r="Q69" i="36" s="1"/>
  <c r="B50" i="36"/>
  <c r="A50" i="36"/>
  <c r="AA49" i="36"/>
  <c r="I49" i="36"/>
  <c r="Q68" i="36" s="1"/>
  <c r="B49" i="36"/>
  <c r="A49" i="36"/>
  <c r="AA48" i="36"/>
  <c r="I48" i="36"/>
  <c r="B48" i="36"/>
  <c r="A48" i="36"/>
  <c r="AA47" i="36"/>
  <c r="I47" i="36"/>
  <c r="B47" i="36"/>
  <c r="A47" i="36"/>
  <c r="I46" i="36"/>
  <c r="J46" i="36" s="1"/>
  <c r="B46" i="36"/>
  <c r="H86" i="36" s="1"/>
  <c r="I86" i="36" s="1"/>
  <c r="A46" i="36"/>
  <c r="I44" i="36"/>
  <c r="P70" i="36" s="1"/>
  <c r="A44" i="36"/>
  <c r="AA43" i="36"/>
  <c r="I43" i="36"/>
  <c r="P69" i="36" s="1"/>
  <c r="A43" i="36"/>
  <c r="AA42" i="36"/>
  <c r="I42" i="36"/>
  <c r="P68" i="36" s="1"/>
  <c r="A42" i="36"/>
  <c r="AA41" i="36"/>
  <c r="I41" i="36"/>
  <c r="B41" i="36"/>
  <c r="A41" i="36"/>
  <c r="AA40" i="36"/>
  <c r="I40" i="36"/>
  <c r="P66" i="36" s="1"/>
  <c r="A40" i="36"/>
  <c r="I39" i="36"/>
  <c r="J39" i="36" s="1"/>
  <c r="A39" i="36"/>
  <c r="I37" i="36"/>
  <c r="O70" i="36" s="1"/>
  <c r="B37" i="36"/>
  <c r="A37" i="36"/>
  <c r="AA36" i="36"/>
  <c r="I36" i="36"/>
  <c r="O69" i="36" s="1"/>
  <c r="A36" i="36"/>
  <c r="AA35" i="36"/>
  <c r="I35" i="36"/>
  <c r="O68" i="36" s="1"/>
  <c r="A35" i="36"/>
  <c r="AA34" i="36"/>
  <c r="I34" i="36"/>
  <c r="A34" i="36"/>
  <c r="AA33" i="36"/>
  <c r="I33" i="36"/>
  <c r="B33" i="36"/>
  <c r="A33" i="36"/>
  <c r="I32" i="36"/>
  <c r="O65" i="36" s="1"/>
  <c r="A32" i="36"/>
  <c r="I30" i="36"/>
  <c r="N70" i="36" s="1"/>
  <c r="A30" i="36"/>
  <c r="AA29" i="36"/>
  <c r="I29" i="36"/>
  <c r="N69" i="36" s="1"/>
  <c r="B29" i="36"/>
  <c r="A29" i="36"/>
  <c r="AA28" i="36"/>
  <c r="I28" i="36"/>
  <c r="N68" i="36" s="1"/>
  <c r="B28" i="36"/>
  <c r="A28" i="36"/>
  <c r="AA27" i="36"/>
  <c r="I27" i="36"/>
  <c r="N67" i="36" s="1"/>
  <c r="A27" i="36"/>
  <c r="AA26" i="36"/>
  <c r="I26" i="36"/>
  <c r="A26" i="36"/>
  <c r="I25" i="36"/>
  <c r="N65" i="36" s="1"/>
  <c r="B25" i="36"/>
  <c r="E86" i="36" s="1"/>
  <c r="A25" i="36"/>
  <c r="I23" i="36"/>
  <c r="J23" i="36" s="1"/>
  <c r="A23" i="36"/>
  <c r="AA22" i="36"/>
  <c r="O22" i="36"/>
  <c r="I22" i="36"/>
  <c r="A22" i="36"/>
  <c r="AA21" i="36"/>
  <c r="I21" i="36"/>
  <c r="A21" i="36"/>
  <c r="AA20" i="36"/>
  <c r="I20" i="36"/>
  <c r="J20" i="36" s="1"/>
  <c r="D89" i="36"/>
  <c r="A20" i="36"/>
  <c r="AA19" i="36"/>
  <c r="I19" i="36"/>
  <c r="A19" i="36"/>
  <c r="I18" i="36"/>
  <c r="A18" i="36"/>
  <c r="I16" i="36"/>
  <c r="A16" i="36"/>
  <c r="AA15" i="36"/>
  <c r="I15" i="36"/>
  <c r="A15" i="36"/>
  <c r="AA14" i="36"/>
  <c r="I14" i="36"/>
  <c r="A14" i="36"/>
  <c r="AA13" i="36"/>
  <c r="I13" i="36"/>
  <c r="J13" i="36" s="1"/>
  <c r="A13" i="36"/>
  <c r="AA12" i="36"/>
  <c r="I12" i="36"/>
  <c r="M12" i="36" s="1"/>
  <c r="A12" i="36"/>
  <c r="I11" i="36"/>
  <c r="J11" i="36" s="1"/>
  <c r="A11" i="36"/>
  <c r="AA10" i="36"/>
  <c r="AA9" i="36"/>
  <c r="P7" i="36"/>
  <c r="B42" i="36" s="1"/>
  <c r="P6" i="36"/>
  <c r="B34" i="36" s="1"/>
  <c r="C6" i="36"/>
  <c r="P5" i="36"/>
  <c r="B30" i="36" s="1"/>
  <c r="P4" i="36"/>
  <c r="P3" i="36"/>
  <c r="A92" i="35"/>
  <c r="A91" i="35"/>
  <c r="A90" i="35"/>
  <c r="A89" i="35"/>
  <c r="A88" i="35"/>
  <c r="A87" i="35"/>
  <c r="K70" i="35"/>
  <c r="K69" i="35"/>
  <c r="K68" i="35"/>
  <c r="K67" i="35"/>
  <c r="K66" i="35"/>
  <c r="K65" i="35"/>
  <c r="I51" i="35"/>
  <c r="B51" i="35"/>
  <c r="A51" i="35"/>
  <c r="AA50" i="35"/>
  <c r="I50" i="35"/>
  <c r="Q69" i="35" s="1"/>
  <c r="B50" i="35"/>
  <c r="A50" i="35"/>
  <c r="AA49" i="35"/>
  <c r="I49" i="35"/>
  <c r="Q68" i="35" s="1"/>
  <c r="B49" i="35"/>
  <c r="A49" i="35"/>
  <c r="AA48" i="35"/>
  <c r="I48" i="35"/>
  <c r="Q67" i="35" s="1"/>
  <c r="B48" i="35"/>
  <c r="A48" i="35"/>
  <c r="AA47" i="35"/>
  <c r="I47" i="35"/>
  <c r="Q66" i="35" s="1"/>
  <c r="B47" i="35"/>
  <c r="A47" i="35"/>
  <c r="I46" i="35"/>
  <c r="B46" i="35"/>
  <c r="H86" i="35" s="1"/>
  <c r="I86" i="35" s="1"/>
  <c r="A46" i="35"/>
  <c r="I44" i="35"/>
  <c r="P70" i="35" s="1"/>
  <c r="B44" i="35"/>
  <c r="A44" i="35"/>
  <c r="AA43" i="35"/>
  <c r="I43" i="35"/>
  <c r="P69" i="35" s="1"/>
  <c r="A43" i="35"/>
  <c r="AA42" i="35"/>
  <c r="I42" i="35"/>
  <c r="P68" i="35" s="1"/>
  <c r="A42" i="35"/>
  <c r="AA41" i="35"/>
  <c r="I41" i="35"/>
  <c r="B41" i="35"/>
  <c r="A41" i="35"/>
  <c r="AA40" i="35"/>
  <c r="I40" i="35"/>
  <c r="P66" i="35" s="1"/>
  <c r="B40" i="35"/>
  <c r="A40" i="35"/>
  <c r="I39" i="35"/>
  <c r="J39" i="35" s="1"/>
  <c r="A39" i="35"/>
  <c r="I37" i="35"/>
  <c r="O70" i="35" s="1"/>
  <c r="B37" i="35"/>
  <c r="A37" i="35"/>
  <c r="AA36" i="35"/>
  <c r="I36" i="35"/>
  <c r="A36" i="35"/>
  <c r="AA35" i="35"/>
  <c r="I35" i="35"/>
  <c r="O68" i="35" s="1"/>
  <c r="A35" i="35"/>
  <c r="AA34" i="35"/>
  <c r="I34" i="35"/>
  <c r="O67" i="35" s="1"/>
  <c r="A34" i="35"/>
  <c r="AA33" i="35"/>
  <c r="I33" i="35"/>
  <c r="O66" i="35" s="1"/>
  <c r="B33" i="35"/>
  <c r="A33" i="35"/>
  <c r="I32" i="35"/>
  <c r="J32" i="35" s="1"/>
  <c r="A32" i="35"/>
  <c r="I30" i="35"/>
  <c r="N70" i="35" s="1"/>
  <c r="A30" i="35"/>
  <c r="AA29" i="35"/>
  <c r="I29" i="35"/>
  <c r="B29" i="35"/>
  <c r="A29" i="35"/>
  <c r="AA28" i="35"/>
  <c r="I28" i="35"/>
  <c r="N68" i="35" s="1"/>
  <c r="A28" i="35"/>
  <c r="AA27" i="35"/>
  <c r="I27" i="35"/>
  <c r="N67" i="35" s="1"/>
  <c r="A27" i="35"/>
  <c r="AA26" i="35"/>
  <c r="I26" i="35"/>
  <c r="A26" i="35"/>
  <c r="I25" i="35"/>
  <c r="N65" i="35" s="1"/>
  <c r="A25" i="35"/>
  <c r="O23" i="35"/>
  <c r="I23" i="35"/>
  <c r="P23" i="35" s="1"/>
  <c r="M70" i="35" s="1"/>
  <c r="B23" i="35"/>
  <c r="A23" i="35"/>
  <c r="AA22" i="35"/>
  <c r="I22" i="35"/>
  <c r="J22" i="35" s="1"/>
  <c r="A22" i="35"/>
  <c r="AA21" i="35"/>
  <c r="O21" i="35"/>
  <c r="I21" i="35"/>
  <c r="B21" i="35"/>
  <c r="A21" i="35"/>
  <c r="AA20" i="35"/>
  <c r="O20" i="35"/>
  <c r="I20" i="35"/>
  <c r="P20" i="35" s="1"/>
  <c r="M67" i="35" s="1"/>
  <c r="D89" i="35"/>
  <c r="B20" i="35"/>
  <c r="A20" i="35"/>
  <c r="AA19" i="35"/>
  <c r="O19" i="35"/>
  <c r="I19" i="35"/>
  <c r="M22" i="35" s="1"/>
  <c r="D88" i="35"/>
  <c r="B19" i="35"/>
  <c r="A19" i="35"/>
  <c r="I18" i="35"/>
  <c r="J18" i="35" s="1"/>
  <c r="B18" i="35"/>
  <c r="D86" i="35" s="1"/>
  <c r="A18" i="35"/>
  <c r="I16" i="35"/>
  <c r="B16" i="35"/>
  <c r="A16" i="35"/>
  <c r="AA15" i="35"/>
  <c r="I15" i="35"/>
  <c r="B15" i="35"/>
  <c r="A15" i="35"/>
  <c r="AA14" i="35"/>
  <c r="I14" i="35"/>
  <c r="B14" i="35"/>
  <c r="A14" i="35"/>
  <c r="AA13" i="35"/>
  <c r="I13" i="35"/>
  <c r="P13" i="35" s="1"/>
  <c r="L67" i="35" s="1"/>
  <c r="B13" i="35"/>
  <c r="A13" i="35"/>
  <c r="AA12" i="35"/>
  <c r="I12" i="35"/>
  <c r="J12" i="35" s="1"/>
  <c r="A12" i="35"/>
  <c r="I11" i="35"/>
  <c r="J11" i="35" s="1"/>
  <c r="K11" i="35" s="1"/>
  <c r="A11" i="35"/>
  <c r="AA10" i="35"/>
  <c r="AA9" i="35"/>
  <c r="P7" i="35"/>
  <c r="B42" i="35" s="1"/>
  <c r="P6" i="35"/>
  <c r="B34" i="35" s="1"/>
  <c r="C6" i="35"/>
  <c r="P5" i="35"/>
  <c r="B30" i="35" s="1"/>
  <c r="P4" i="35"/>
  <c r="B22" i="35" s="1"/>
  <c r="O22" i="35" s="1"/>
  <c r="P3" i="35"/>
  <c r="B11" i="35" s="1"/>
  <c r="P15" i="5"/>
  <c r="M51" i="35" l="1"/>
  <c r="J47" i="35"/>
  <c r="M47" i="35"/>
  <c r="J48" i="35"/>
  <c r="K48" i="35" s="1"/>
  <c r="Q70" i="35"/>
  <c r="J43" i="35"/>
  <c r="M43" i="35"/>
  <c r="P65" i="35"/>
  <c r="J35" i="35"/>
  <c r="O65" i="35"/>
  <c r="M27" i="35"/>
  <c r="J27" i="35"/>
  <c r="K27" i="35" s="1"/>
  <c r="J25" i="35"/>
  <c r="K25" i="35" s="1"/>
  <c r="M19" i="35"/>
  <c r="M21" i="35"/>
  <c r="P21" i="35"/>
  <c r="M68" i="35" s="1"/>
  <c r="J23" i="35"/>
  <c r="K23" i="35" s="1"/>
  <c r="J15" i="35"/>
  <c r="P15" i="35"/>
  <c r="L69" i="35" s="1"/>
  <c r="J43" i="36"/>
  <c r="P16" i="36"/>
  <c r="L70" i="36" s="1"/>
  <c r="K15" i="35"/>
  <c r="V27" i="5"/>
  <c r="V28" i="5" s="1"/>
  <c r="K22" i="35"/>
  <c r="F50" i="36"/>
  <c r="H91" i="36" s="1"/>
  <c r="I91" i="36" s="1"/>
  <c r="F25" i="36"/>
  <c r="E87" i="36" s="1"/>
  <c r="F18" i="36"/>
  <c r="D87" i="36" s="1"/>
  <c r="F15" i="36"/>
  <c r="F47" i="36"/>
  <c r="H88" i="36" s="1"/>
  <c r="I88" i="36" s="1"/>
  <c r="F30" i="36"/>
  <c r="E92" i="36" s="1"/>
  <c r="F35" i="36"/>
  <c r="F90" i="36" s="1"/>
  <c r="F18" i="35"/>
  <c r="D87" i="35" s="1"/>
  <c r="F12" i="35"/>
  <c r="F40" i="35"/>
  <c r="G88" i="35" s="1"/>
  <c r="F15" i="35"/>
  <c r="F25" i="35"/>
  <c r="E87" i="35" s="1"/>
  <c r="J7" i="37"/>
  <c r="F29" i="37" s="1"/>
  <c r="E91" i="37" s="1"/>
  <c r="F20" i="37"/>
  <c r="D92" i="37"/>
  <c r="J21" i="37"/>
  <c r="K21" i="37" s="1"/>
  <c r="M19" i="37"/>
  <c r="M20" i="37"/>
  <c r="J16" i="37"/>
  <c r="J23" i="37"/>
  <c r="K23" i="37" s="1"/>
  <c r="M22" i="37"/>
  <c r="J20" i="37"/>
  <c r="K20" i="37" s="1"/>
  <c r="J19" i="37"/>
  <c r="K19" i="37" s="1"/>
  <c r="J15" i="37"/>
  <c r="K15" i="37" s="1"/>
  <c r="J13" i="37"/>
  <c r="K13" i="37" s="1"/>
  <c r="M12" i="37"/>
  <c r="M14" i="37"/>
  <c r="K16" i="37"/>
  <c r="K11" i="37"/>
  <c r="M21" i="36"/>
  <c r="M41" i="36"/>
  <c r="J35" i="37"/>
  <c r="M41" i="37"/>
  <c r="J47" i="37"/>
  <c r="M47" i="37"/>
  <c r="J51" i="37"/>
  <c r="J27" i="37"/>
  <c r="K27" i="37" s="1"/>
  <c r="P65" i="37"/>
  <c r="M43" i="37"/>
  <c r="M48" i="37"/>
  <c r="K35" i="37"/>
  <c r="K25" i="37"/>
  <c r="K39" i="37"/>
  <c r="K47" i="37"/>
  <c r="K51" i="37"/>
  <c r="M48" i="36"/>
  <c r="J51" i="36"/>
  <c r="K51" i="36" s="1"/>
  <c r="J48" i="36"/>
  <c r="K48" i="36" s="1"/>
  <c r="J47" i="36"/>
  <c r="K47" i="36" s="1"/>
  <c r="M47" i="36"/>
  <c r="M51" i="36"/>
  <c r="J44" i="36"/>
  <c r="K44" i="36" s="1"/>
  <c r="P67" i="36"/>
  <c r="M43" i="36"/>
  <c r="J40" i="36"/>
  <c r="K40" i="36" s="1"/>
  <c r="M40" i="36"/>
  <c r="M44" i="36"/>
  <c r="P65" i="36"/>
  <c r="M36" i="36"/>
  <c r="J36" i="36"/>
  <c r="K36" i="36" s="1"/>
  <c r="M35" i="36"/>
  <c r="J35" i="36"/>
  <c r="K35" i="36" s="1"/>
  <c r="M34" i="36"/>
  <c r="J32" i="36"/>
  <c r="K32" i="36" s="1"/>
  <c r="J28" i="36"/>
  <c r="K28" i="36" s="1"/>
  <c r="M27" i="36"/>
  <c r="J27" i="36"/>
  <c r="K27" i="36" s="1"/>
  <c r="M29" i="36"/>
  <c r="J22" i="36"/>
  <c r="K22" i="36" s="1"/>
  <c r="P22" i="36"/>
  <c r="M69" i="36" s="1"/>
  <c r="M22" i="36"/>
  <c r="M23" i="36"/>
  <c r="M19" i="36"/>
  <c r="J21" i="36"/>
  <c r="K21" i="36" s="1"/>
  <c r="J19" i="36"/>
  <c r="K19" i="36" s="1"/>
  <c r="M20" i="36"/>
  <c r="J12" i="36"/>
  <c r="K12" i="36" s="1"/>
  <c r="P12" i="36"/>
  <c r="L66" i="36" s="1"/>
  <c r="J16" i="36"/>
  <c r="K16" i="36" s="1"/>
  <c r="J14" i="36"/>
  <c r="K14" i="36" s="1"/>
  <c r="P13" i="36"/>
  <c r="L67" i="36" s="1"/>
  <c r="M13" i="36"/>
  <c r="M14" i="36"/>
  <c r="K46" i="36"/>
  <c r="K43" i="36"/>
  <c r="K39" i="36"/>
  <c r="K23" i="36"/>
  <c r="K20" i="36"/>
  <c r="K13" i="36"/>
  <c r="K11" i="36"/>
  <c r="J22" i="37"/>
  <c r="K22" i="37" s="1"/>
  <c r="J46" i="37"/>
  <c r="K46" i="37" s="1"/>
  <c r="C86" i="37"/>
  <c r="L64" i="37"/>
  <c r="M27" i="37"/>
  <c r="B29" i="37"/>
  <c r="B33" i="37"/>
  <c r="B37" i="37"/>
  <c r="B16" i="37"/>
  <c r="J26" i="37"/>
  <c r="K26" i="37" s="1"/>
  <c r="J30" i="37"/>
  <c r="K30" i="37" s="1"/>
  <c r="J34" i="37"/>
  <c r="K34" i="37" s="1"/>
  <c r="J42" i="37"/>
  <c r="K42" i="37" s="1"/>
  <c r="J50" i="37"/>
  <c r="K50" i="37" s="1"/>
  <c r="Q65" i="37"/>
  <c r="O67" i="37"/>
  <c r="C92" i="37"/>
  <c r="M64" i="37"/>
  <c r="P67" i="37"/>
  <c r="N69" i="37"/>
  <c r="B28" i="37"/>
  <c r="M42" i="37"/>
  <c r="M50" i="37"/>
  <c r="O69" i="37"/>
  <c r="D86" i="37"/>
  <c r="C91" i="37"/>
  <c r="J18" i="37"/>
  <c r="K18" i="37" s="1"/>
  <c r="M26" i="37"/>
  <c r="B36" i="37"/>
  <c r="B13" i="37"/>
  <c r="B23" i="37"/>
  <c r="J29" i="37"/>
  <c r="K29" i="37" s="1"/>
  <c r="J33" i="37"/>
  <c r="K33" i="37" s="1"/>
  <c r="J37" i="37"/>
  <c r="K37" i="37" s="1"/>
  <c r="J41" i="37"/>
  <c r="K41" i="37" s="1"/>
  <c r="J49" i="37"/>
  <c r="K49" i="37" s="1"/>
  <c r="D91" i="37"/>
  <c r="M30" i="37"/>
  <c r="B12" i="37"/>
  <c r="B22" i="37"/>
  <c r="B32" i="37"/>
  <c r="P64" i="37"/>
  <c r="B27" i="37"/>
  <c r="M33" i="37"/>
  <c r="B35" i="37"/>
  <c r="M37" i="37"/>
  <c r="B43" i="37"/>
  <c r="M49" i="37"/>
  <c r="Q64" i="37"/>
  <c r="J14" i="37"/>
  <c r="K14" i="37" s="1"/>
  <c r="M16" i="37"/>
  <c r="J28" i="37"/>
  <c r="K28" i="37" s="1"/>
  <c r="J36" i="37"/>
  <c r="K36" i="37" s="1"/>
  <c r="J40" i="37"/>
  <c r="K40" i="37" s="1"/>
  <c r="J44" i="37"/>
  <c r="K44" i="37" s="1"/>
  <c r="J48" i="37"/>
  <c r="K48" i="37" s="1"/>
  <c r="P66" i="37"/>
  <c r="N68" i="37"/>
  <c r="D89" i="37"/>
  <c r="B25" i="37"/>
  <c r="M15" i="37"/>
  <c r="J12" i="37"/>
  <c r="K12" i="37" s="1"/>
  <c r="B26" i="37"/>
  <c r="J32" i="37"/>
  <c r="K32" i="37" s="1"/>
  <c r="M44" i="37"/>
  <c r="M23" i="37"/>
  <c r="P15" i="36"/>
  <c r="L69" i="36" s="1"/>
  <c r="P11" i="36"/>
  <c r="L65" i="36" s="1"/>
  <c r="C86" i="36"/>
  <c r="L64" i="36"/>
  <c r="M64" i="36"/>
  <c r="O18" i="36"/>
  <c r="P18" i="36" s="1"/>
  <c r="M65" i="36" s="1"/>
  <c r="D86" i="36"/>
  <c r="F16" i="36"/>
  <c r="F26" i="36"/>
  <c r="E88" i="36" s="1"/>
  <c r="F42" i="36"/>
  <c r="G90" i="36" s="1"/>
  <c r="F41" i="36"/>
  <c r="G89" i="36" s="1"/>
  <c r="B87" i="36"/>
  <c r="F39" i="36"/>
  <c r="G87" i="36" s="1"/>
  <c r="F19" i="36"/>
  <c r="F11" i="36"/>
  <c r="C87" i="36" s="1"/>
  <c r="F49" i="36"/>
  <c r="H90" i="36" s="1"/>
  <c r="I90" i="36" s="1"/>
  <c r="F20" i="36"/>
  <c r="F37" i="36"/>
  <c r="F92" i="36" s="1"/>
  <c r="B88" i="36"/>
  <c r="F32" i="36"/>
  <c r="F87" i="36" s="1"/>
  <c r="F22" i="36"/>
  <c r="F12" i="36"/>
  <c r="F33" i="36"/>
  <c r="F88" i="36" s="1"/>
  <c r="B89" i="36"/>
  <c r="B91" i="36"/>
  <c r="F48" i="36"/>
  <c r="H89" i="36" s="1"/>
  <c r="I89" i="36" s="1"/>
  <c r="F44" i="36"/>
  <c r="G92" i="36" s="1"/>
  <c r="F40" i="36"/>
  <c r="G88" i="36" s="1"/>
  <c r="F36" i="36"/>
  <c r="F91" i="36" s="1"/>
  <c r="F28" i="36"/>
  <c r="E90" i="36" s="1"/>
  <c r="F14" i="36"/>
  <c r="B90" i="36"/>
  <c r="F29" i="36"/>
  <c r="E91" i="36" s="1"/>
  <c r="B92" i="36"/>
  <c r="P14" i="36"/>
  <c r="L68" i="36" s="1"/>
  <c r="F46" i="36"/>
  <c r="H87" i="36" s="1"/>
  <c r="I87" i="36" s="1"/>
  <c r="F51" i="36"/>
  <c r="H92" i="36" s="1"/>
  <c r="I92" i="36" s="1"/>
  <c r="F23" i="36"/>
  <c r="F27" i="36"/>
  <c r="E89" i="36" s="1"/>
  <c r="F43" i="36"/>
  <c r="G91" i="36" s="1"/>
  <c r="F21" i="36"/>
  <c r="F34" i="36"/>
  <c r="F89" i="36" s="1"/>
  <c r="J26" i="36"/>
  <c r="K26" i="36" s="1"/>
  <c r="J30" i="36"/>
  <c r="K30" i="36" s="1"/>
  <c r="J34" i="36"/>
  <c r="K34" i="36" s="1"/>
  <c r="J42" i="36"/>
  <c r="K42" i="36" s="1"/>
  <c r="J50" i="36"/>
  <c r="K50" i="36" s="1"/>
  <c r="Q65" i="36"/>
  <c r="O67" i="36"/>
  <c r="C92" i="36"/>
  <c r="J18" i="36"/>
  <c r="K18" i="36" s="1"/>
  <c r="M26" i="36"/>
  <c r="M30" i="36"/>
  <c r="B36" i="36"/>
  <c r="B40" i="36"/>
  <c r="M42" i="36"/>
  <c r="B44" i="36"/>
  <c r="M50" i="36"/>
  <c r="N64" i="36"/>
  <c r="C91" i="36"/>
  <c r="O23" i="36"/>
  <c r="P23" i="36" s="1"/>
  <c r="M70" i="36" s="1"/>
  <c r="J29" i="36"/>
  <c r="K29" i="36" s="1"/>
  <c r="J33" i="36"/>
  <c r="K33" i="36" s="1"/>
  <c r="J37" i="36"/>
  <c r="K37" i="36" s="1"/>
  <c r="J41" i="36"/>
  <c r="K41" i="36" s="1"/>
  <c r="J49" i="36"/>
  <c r="K49" i="36" s="1"/>
  <c r="B32" i="36"/>
  <c r="N66" i="36"/>
  <c r="F13" i="36"/>
  <c r="J15" i="36"/>
  <c r="K15" i="36" s="1"/>
  <c r="O21" i="36"/>
  <c r="P21" i="36" s="1"/>
  <c r="M68" i="36" s="1"/>
  <c r="J25" i="36"/>
  <c r="K25" i="36" s="1"/>
  <c r="B27" i="36"/>
  <c r="M33" i="36"/>
  <c r="B35" i="36"/>
  <c r="M37" i="36"/>
  <c r="B43" i="36"/>
  <c r="M49" i="36"/>
  <c r="Q64" i="36"/>
  <c r="O66" i="36"/>
  <c r="D90" i="36"/>
  <c r="M16" i="36"/>
  <c r="O20" i="36"/>
  <c r="P20" i="36" s="1"/>
  <c r="M67" i="36" s="1"/>
  <c r="M15" i="36"/>
  <c r="O19" i="36"/>
  <c r="P19" i="36" s="1"/>
  <c r="M66" i="36" s="1"/>
  <c r="B39" i="36"/>
  <c r="Q66" i="36"/>
  <c r="B26" i="36"/>
  <c r="M28" i="36"/>
  <c r="J46" i="35"/>
  <c r="K46" i="35" s="1"/>
  <c r="J19" i="35"/>
  <c r="K19" i="35" s="1"/>
  <c r="M35" i="35"/>
  <c r="M12" i="35"/>
  <c r="M44" i="35"/>
  <c r="M14" i="35"/>
  <c r="M29" i="35"/>
  <c r="J13" i="35"/>
  <c r="K13" i="35" s="1"/>
  <c r="J21" i="35"/>
  <c r="K21" i="35" s="1"/>
  <c r="M36" i="35"/>
  <c r="P14" i="35"/>
  <c r="L68" i="35" s="1"/>
  <c r="K43" i="35"/>
  <c r="M13" i="35"/>
  <c r="M37" i="35"/>
  <c r="K47" i="35"/>
  <c r="J51" i="35"/>
  <c r="J20" i="35"/>
  <c r="K20" i="35" s="1"/>
  <c r="M20" i="35"/>
  <c r="K35" i="35"/>
  <c r="P22" i="35"/>
  <c r="M69" i="35" s="1"/>
  <c r="M41" i="35"/>
  <c r="J44" i="35"/>
  <c r="K44" i="35" s="1"/>
  <c r="M49" i="35"/>
  <c r="K18" i="35"/>
  <c r="K32" i="35"/>
  <c r="C88" i="35"/>
  <c r="K12" i="35"/>
  <c r="K51" i="35"/>
  <c r="K39" i="35"/>
  <c r="F50" i="35"/>
  <c r="H91" i="35" s="1"/>
  <c r="I91" i="35" s="1"/>
  <c r="F46" i="35"/>
  <c r="H87" i="35" s="1"/>
  <c r="I87" i="35" s="1"/>
  <c r="F28" i="35"/>
  <c r="E90" i="35" s="1"/>
  <c r="F32" i="35"/>
  <c r="F87" i="35" s="1"/>
  <c r="F37" i="35"/>
  <c r="F92" i="35" s="1"/>
  <c r="B87" i="35"/>
  <c r="F42" i="35"/>
  <c r="G90" i="35" s="1"/>
  <c r="F34" i="35"/>
  <c r="F89" i="35" s="1"/>
  <c r="F30" i="35"/>
  <c r="E92" i="35" s="1"/>
  <c r="F26" i="35"/>
  <c r="E88" i="35" s="1"/>
  <c r="B88" i="35"/>
  <c r="F51" i="35"/>
  <c r="H92" i="35" s="1"/>
  <c r="I92" i="35" s="1"/>
  <c r="F39" i="35"/>
  <c r="G87" i="35" s="1"/>
  <c r="F19" i="35"/>
  <c r="F11" i="35"/>
  <c r="C87" i="35" s="1"/>
  <c r="F43" i="35"/>
  <c r="G91" i="35" s="1"/>
  <c r="F35" i="35"/>
  <c r="F90" i="35" s="1"/>
  <c r="B89" i="35"/>
  <c r="F27" i="35"/>
  <c r="E89" i="35" s="1"/>
  <c r="F21" i="35"/>
  <c r="B90" i="35"/>
  <c r="F48" i="35"/>
  <c r="H89" i="35" s="1"/>
  <c r="I89" i="35" s="1"/>
  <c r="F23" i="35"/>
  <c r="F13" i="35"/>
  <c r="B91" i="35"/>
  <c r="B92" i="35"/>
  <c r="F22" i="35"/>
  <c r="F41" i="35"/>
  <c r="G89" i="35" s="1"/>
  <c r="F47" i="35"/>
  <c r="H88" i="35" s="1"/>
  <c r="I88" i="35" s="1"/>
  <c r="F33" i="35"/>
  <c r="F88" i="35" s="1"/>
  <c r="P16" i="35"/>
  <c r="L70" i="35" s="1"/>
  <c r="F29" i="35"/>
  <c r="E91" i="35" s="1"/>
  <c r="F44" i="35"/>
  <c r="G92" i="35" s="1"/>
  <c r="F49" i="35"/>
  <c r="H90" i="35" s="1"/>
  <c r="I90" i="35" s="1"/>
  <c r="L64" i="35"/>
  <c r="C86" i="35"/>
  <c r="P11" i="35"/>
  <c r="L65" i="35" s="1"/>
  <c r="F36" i="35"/>
  <c r="F91" i="35" s="1"/>
  <c r="F16" i="35"/>
  <c r="B28" i="35"/>
  <c r="J50" i="35"/>
  <c r="K50" i="35" s="1"/>
  <c r="J26" i="35"/>
  <c r="K26" i="35" s="1"/>
  <c r="J30" i="35"/>
  <c r="K30" i="35" s="1"/>
  <c r="B25" i="35"/>
  <c r="B36" i="35"/>
  <c r="Q65" i="35"/>
  <c r="P19" i="35"/>
  <c r="M66" i="35" s="1"/>
  <c r="J29" i="35"/>
  <c r="K29" i="35" s="1"/>
  <c r="J33" i="35"/>
  <c r="K33" i="35" s="1"/>
  <c r="J37" i="35"/>
  <c r="K37" i="35" s="1"/>
  <c r="J41" i="35"/>
  <c r="K41" i="35" s="1"/>
  <c r="M64" i="35"/>
  <c r="P67" i="35"/>
  <c r="N69" i="35"/>
  <c r="B12" i="35"/>
  <c r="P12" i="35" s="1"/>
  <c r="L66" i="35" s="1"/>
  <c r="F14" i="35"/>
  <c r="J16" i="35"/>
  <c r="K16" i="35" s="1"/>
  <c r="O18" i="35"/>
  <c r="P18" i="35" s="1"/>
  <c r="M65" i="35" s="1"/>
  <c r="B32" i="35"/>
  <c r="J49" i="35"/>
  <c r="K49" i="35" s="1"/>
  <c r="M50" i="35"/>
  <c r="O69" i="35"/>
  <c r="C91" i="35"/>
  <c r="J34" i="35"/>
  <c r="K34" i="35" s="1"/>
  <c r="M42" i="35"/>
  <c r="B27" i="35"/>
  <c r="M33" i="35"/>
  <c r="B35" i="35"/>
  <c r="B43" i="35"/>
  <c r="D91" i="35"/>
  <c r="J14" i="35"/>
  <c r="K14" i="35" s="1"/>
  <c r="M16" i="35"/>
  <c r="J28" i="35"/>
  <c r="K28" i="35" s="1"/>
  <c r="J36" i="35"/>
  <c r="K36" i="35" s="1"/>
  <c r="J40" i="35"/>
  <c r="K40" i="35" s="1"/>
  <c r="N66" i="35"/>
  <c r="Q64" i="35"/>
  <c r="M26" i="35"/>
  <c r="M30" i="35"/>
  <c r="M34" i="35"/>
  <c r="M15" i="35"/>
  <c r="B39" i="35"/>
  <c r="F20" i="35"/>
  <c r="B26" i="35"/>
  <c r="M28" i="35"/>
  <c r="M40" i="35"/>
  <c r="M23" i="35"/>
  <c r="M48" i="35"/>
  <c r="J42" i="35"/>
  <c r="K42" i="35" s="1"/>
  <c r="Q40" i="5"/>
  <c r="Q63" i="5"/>
  <c r="G48" i="5"/>
  <c r="J19" i="12" l="1"/>
  <c r="J17" i="12"/>
  <c r="J18" i="12" s="1"/>
  <c r="J21" i="12"/>
  <c r="B88" i="37"/>
  <c r="F25" i="37"/>
  <c r="E87" i="37" s="1"/>
  <c r="F23" i="37"/>
  <c r="F47" i="37"/>
  <c r="H88" i="37" s="1"/>
  <c r="I88" i="37" s="1"/>
  <c r="F40" i="37"/>
  <c r="G88" i="37" s="1"/>
  <c r="F43" i="37"/>
  <c r="G91" i="37" s="1"/>
  <c r="F36" i="37"/>
  <c r="F91" i="37" s="1"/>
  <c r="F35" i="37"/>
  <c r="F90" i="37" s="1"/>
  <c r="B92" i="37"/>
  <c r="F50" i="37"/>
  <c r="H91" i="37" s="1"/>
  <c r="I91" i="37" s="1"/>
  <c r="F26" i="37"/>
  <c r="E88" i="37" s="1"/>
  <c r="B87" i="37"/>
  <c r="F28" i="37"/>
  <c r="E90" i="37" s="1"/>
  <c r="F49" i="37"/>
  <c r="H90" i="37" s="1"/>
  <c r="I90" i="37" s="1"/>
  <c r="F11" i="37"/>
  <c r="C87" i="37" s="1"/>
  <c r="F41" i="37"/>
  <c r="G89" i="37" s="1"/>
  <c r="F14" i="37"/>
  <c r="F33" i="37"/>
  <c r="F88" i="37" s="1"/>
  <c r="F51" i="37"/>
  <c r="H92" i="37" s="1"/>
  <c r="I92" i="37" s="1"/>
  <c r="F30" i="37"/>
  <c r="E92" i="37" s="1"/>
  <c r="F37" i="37"/>
  <c r="F92" i="37" s="1"/>
  <c r="F42" i="37"/>
  <c r="G90" i="37" s="1"/>
  <c r="F27" i="37"/>
  <c r="E89" i="37" s="1"/>
  <c r="F34" i="37"/>
  <c r="F89" i="37" s="1"/>
  <c r="F48" i="37"/>
  <c r="H89" i="37" s="1"/>
  <c r="I89" i="37" s="1"/>
  <c r="F19" i="37"/>
  <c r="F44" i="37"/>
  <c r="G92" i="37" s="1"/>
  <c r="F16" i="37"/>
  <c r="F46" i="37"/>
  <c r="H87" i="37" s="1"/>
  <c r="I87" i="37" s="1"/>
  <c r="F15" i="37"/>
  <c r="F39" i="37"/>
  <c r="G87" i="37" s="1"/>
  <c r="F21" i="37"/>
  <c r="F18" i="37"/>
  <c r="D87" i="37" s="1"/>
  <c r="F13" i="37"/>
  <c r="F22" i="37"/>
  <c r="F12" i="37"/>
  <c r="B91" i="37"/>
  <c r="F32" i="37"/>
  <c r="F87" i="37" s="1"/>
  <c r="B89" i="37"/>
  <c r="B90" i="37"/>
  <c r="B80" i="36"/>
  <c r="B80" i="35"/>
  <c r="N72" i="35" s="1"/>
  <c r="B80" i="37"/>
  <c r="L72" i="37" s="1"/>
  <c r="E86" i="37"/>
  <c r="N64" i="37"/>
  <c r="F86" i="37"/>
  <c r="O64" i="37"/>
  <c r="F86" i="36"/>
  <c r="O64" i="36"/>
  <c r="G86" i="36"/>
  <c r="P64" i="36"/>
  <c r="E86" i="35"/>
  <c r="N64" i="35"/>
  <c r="G86" i="35"/>
  <c r="P64" i="35"/>
  <c r="F86" i="35"/>
  <c r="O64" i="35"/>
  <c r="Q68" i="5"/>
  <c r="Q55" i="5"/>
  <c r="Q65" i="5"/>
  <c r="Q66" i="5" s="1"/>
  <c r="Q57" i="5"/>
  <c r="Q70" i="5" s="1"/>
  <c r="J20" i="12" l="1"/>
  <c r="P72" i="35"/>
  <c r="M72" i="35"/>
  <c r="M72" i="37"/>
  <c r="O72" i="35"/>
  <c r="B96" i="36"/>
  <c r="K72" i="36"/>
  <c r="L72" i="36"/>
  <c r="O72" i="36"/>
  <c r="B96" i="35"/>
  <c r="K72" i="35"/>
  <c r="Q72" i="35"/>
  <c r="M72" i="36"/>
  <c r="B96" i="37"/>
  <c r="O72" i="37"/>
  <c r="K72" i="37"/>
  <c r="P72" i="37"/>
  <c r="N72" i="37"/>
  <c r="Q72" i="37"/>
  <c r="P72" i="36"/>
  <c r="N72" i="36"/>
  <c r="Q72" i="36"/>
  <c r="L72" i="35"/>
  <c r="Q69" i="5"/>
  <c r="Q72" i="5" s="1"/>
  <c r="Q83" i="5" s="1"/>
  <c r="Q67" i="5"/>
  <c r="Q5" i="12" l="1"/>
  <c r="Q6" i="12"/>
  <c r="Q7" i="12"/>
  <c r="Q8" i="12"/>
  <c r="P5" i="12"/>
  <c r="P7" i="12"/>
  <c r="P6" i="12"/>
  <c r="P8" i="12"/>
  <c r="Q16" i="12"/>
  <c r="Q12" i="12"/>
  <c r="J5" i="12"/>
  <c r="J6" i="12"/>
  <c r="J7" i="12"/>
  <c r="J8" i="12"/>
  <c r="Q11" i="12"/>
  <c r="P11" i="12"/>
  <c r="Q10" i="12"/>
  <c r="P10" i="12"/>
  <c r="Q9" i="12"/>
  <c r="P9" i="12"/>
  <c r="Q13" i="12"/>
  <c r="P13" i="12"/>
  <c r="Q14" i="12"/>
  <c r="P14" i="12"/>
  <c r="Q15" i="12"/>
  <c r="P15" i="12"/>
  <c r="O6" i="12"/>
  <c r="O7" i="12"/>
  <c r="O8" i="12"/>
  <c r="O9" i="12"/>
  <c r="O10" i="12"/>
  <c r="O11" i="12"/>
  <c r="O12" i="12"/>
  <c r="O13" i="12"/>
  <c r="O14" i="12"/>
  <c r="O15" i="12"/>
  <c r="O16" i="12"/>
  <c r="O5" i="12"/>
  <c r="M66" i="24"/>
  <c r="M67" i="24"/>
  <c r="M68" i="24"/>
  <c r="M69" i="24"/>
  <c r="M70" i="24"/>
  <c r="M65" i="24"/>
  <c r="L66" i="24"/>
  <c r="L67" i="24"/>
  <c r="L68" i="24"/>
  <c r="L69" i="24"/>
  <c r="L70" i="24"/>
  <c r="L65" i="24"/>
  <c r="P19" i="24"/>
  <c r="P20" i="24"/>
  <c r="P21" i="24"/>
  <c r="P22" i="24"/>
  <c r="P23" i="24"/>
  <c r="P18" i="24"/>
  <c r="O18" i="24"/>
  <c r="P12" i="24"/>
  <c r="P13" i="24"/>
  <c r="P14" i="24"/>
  <c r="P15" i="24"/>
  <c r="P16" i="24"/>
  <c r="P11" i="24"/>
  <c r="O23" i="24"/>
  <c r="O22" i="24"/>
  <c r="O21" i="24"/>
  <c r="O20" i="24"/>
  <c r="O19" i="24"/>
  <c r="O12" i="24"/>
  <c r="O13" i="24"/>
  <c r="O14" i="24"/>
  <c r="O15" i="24"/>
  <c r="O16" i="24"/>
  <c r="O11" i="24"/>
  <c r="K58" i="34"/>
  <c r="J57" i="34"/>
  <c r="K57" i="34" s="1"/>
  <c r="H57" i="34"/>
  <c r="G57" i="34"/>
  <c r="F57" i="34"/>
  <c r="E57" i="34"/>
  <c r="J56" i="34"/>
  <c r="K56" i="34" s="1"/>
  <c r="H56" i="34"/>
  <c r="G56" i="34"/>
  <c r="F56" i="34"/>
  <c r="E56" i="34"/>
  <c r="J55" i="34"/>
  <c r="K55" i="34" s="1"/>
  <c r="F55" i="34"/>
  <c r="E55" i="34"/>
  <c r="J54" i="34"/>
  <c r="K54" i="34" s="1"/>
  <c r="F54" i="34"/>
  <c r="E54" i="34"/>
  <c r="J53" i="34"/>
  <c r="K53" i="34" s="1"/>
  <c r="F53" i="34"/>
  <c r="E53" i="34"/>
  <c r="J52" i="34"/>
  <c r="K52" i="34" s="1"/>
  <c r="H52" i="34"/>
  <c r="G52" i="34"/>
  <c r="F52" i="34"/>
  <c r="E52" i="34"/>
  <c r="C52" i="34"/>
  <c r="J51" i="34"/>
  <c r="K51" i="34" s="1"/>
  <c r="H51" i="34"/>
  <c r="G51" i="34"/>
  <c r="F51" i="34"/>
  <c r="C51" i="34"/>
  <c r="J50" i="34"/>
  <c r="K50" i="34" s="1"/>
  <c r="H50" i="34"/>
  <c r="G50" i="34"/>
  <c r="F50" i="34"/>
  <c r="E50" i="34"/>
  <c r="C50" i="34"/>
  <c r="J49" i="34"/>
  <c r="K49" i="34" s="1"/>
  <c r="H49" i="34"/>
  <c r="G49" i="34"/>
  <c r="F49" i="34"/>
  <c r="E49" i="34"/>
  <c r="C49" i="34"/>
  <c r="J48" i="34"/>
  <c r="K48" i="34" s="1"/>
  <c r="H48" i="34"/>
  <c r="G48" i="34"/>
  <c r="F48" i="34"/>
  <c r="E48" i="34"/>
  <c r="C48" i="34"/>
  <c r="K47" i="34"/>
  <c r="J47" i="34"/>
  <c r="H47" i="34"/>
  <c r="G47" i="34"/>
  <c r="F47" i="34"/>
  <c r="C47" i="34"/>
  <c r="J46" i="34"/>
  <c r="K46" i="34" s="1"/>
  <c r="H46" i="34"/>
  <c r="G46" i="34"/>
  <c r="F46" i="34"/>
  <c r="E46" i="34"/>
  <c r="C46" i="34"/>
  <c r="K45" i="34"/>
  <c r="J45" i="34"/>
  <c r="H45" i="34"/>
  <c r="G45" i="34"/>
  <c r="F45" i="34"/>
  <c r="C45" i="34"/>
  <c r="K44" i="34"/>
  <c r="J44" i="34"/>
  <c r="H44" i="34"/>
  <c r="G44" i="34"/>
  <c r="F44" i="34"/>
  <c r="E44" i="34"/>
  <c r="C44" i="34"/>
  <c r="K43" i="34"/>
  <c r="J43" i="34"/>
  <c r="H43" i="34"/>
  <c r="G43" i="34"/>
  <c r="F43" i="34"/>
  <c r="E43" i="34"/>
  <c r="C43" i="34"/>
  <c r="K42" i="34"/>
  <c r="J42" i="34"/>
  <c r="H42" i="34"/>
  <c r="G42" i="34"/>
  <c r="F42" i="34"/>
  <c r="E42" i="34"/>
  <c r="C42" i="34"/>
  <c r="J41" i="34"/>
  <c r="K41" i="34" s="1"/>
  <c r="F41" i="34"/>
  <c r="C41" i="34"/>
  <c r="K40" i="34"/>
  <c r="J40" i="34"/>
  <c r="H40" i="34"/>
  <c r="G40" i="34"/>
  <c r="F40" i="34"/>
  <c r="C40" i="34"/>
  <c r="K39" i="34"/>
  <c r="J39" i="34"/>
  <c r="H39" i="34"/>
  <c r="G39" i="34"/>
  <c r="F39" i="34"/>
  <c r="E39" i="34"/>
  <c r="C39" i="34"/>
  <c r="K38" i="34"/>
  <c r="J38" i="34"/>
  <c r="H38" i="34"/>
  <c r="G38" i="34"/>
  <c r="F38" i="34"/>
  <c r="E38" i="34"/>
  <c r="C38" i="34"/>
  <c r="J37" i="34"/>
  <c r="K37" i="34" s="1"/>
  <c r="H37" i="34"/>
  <c r="G37" i="34"/>
  <c r="F37" i="34"/>
  <c r="E37" i="34"/>
  <c r="C37" i="34"/>
  <c r="J36" i="34"/>
  <c r="K36" i="34" s="1"/>
  <c r="H36" i="34"/>
  <c r="G36" i="34"/>
  <c r="F36" i="34"/>
  <c r="E36" i="34"/>
  <c r="C36" i="34"/>
  <c r="J35" i="34"/>
  <c r="K35" i="34" s="1"/>
  <c r="C35" i="34"/>
  <c r="K34" i="34"/>
  <c r="J34" i="34"/>
  <c r="C34" i="34"/>
  <c r="K33" i="34"/>
  <c r="J33" i="34"/>
  <c r="C33" i="34"/>
  <c r="J32" i="34"/>
  <c r="K32" i="34" s="1"/>
  <c r="C32" i="34"/>
  <c r="J31" i="34"/>
  <c r="K31" i="34" s="1"/>
  <c r="C31" i="34"/>
  <c r="K30" i="34"/>
  <c r="J30" i="34"/>
  <c r="C30" i="34"/>
  <c r="K29" i="34"/>
  <c r="J29" i="34"/>
  <c r="C29" i="34"/>
  <c r="J28" i="34"/>
  <c r="K28" i="34" s="1"/>
  <c r="C28" i="34"/>
  <c r="J27" i="34"/>
  <c r="K27" i="34" s="1"/>
  <c r="C27" i="34"/>
  <c r="K26" i="34"/>
  <c r="J26" i="34"/>
  <c r="C26" i="34"/>
  <c r="K25" i="34"/>
  <c r="J25" i="34"/>
  <c r="C25" i="34"/>
  <c r="J24" i="34"/>
  <c r="K24" i="34" s="1"/>
  <c r="C24" i="34"/>
  <c r="J23" i="34"/>
  <c r="K23" i="34" s="1"/>
  <c r="C23" i="34"/>
  <c r="K22" i="34"/>
  <c r="J22" i="34"/>
  <c r="C22" i="34"/>
  <c r="K21" i="34"/>
  <c r="J21" i="34"/>
  <c r="C21" i="34"/>
  <c r="J20" i="34"/>
  <c r="K20" i="34" s="1"/>
  <c r="C20" i="34"/>
  <c r="J19" i="34"/>
  <c r="K19" i="34" s="1"/>
  <c r="E19" i="34"/>
  <c r="C19" i="34"/>
  <c r="J18" i="34"/>
  <c r="K18" i="34" s="1"/>
  <c r="C18" i="34"/>
  <c r="K17" i="34"/>
  <c r="J17" i="34"/>
  <c r="C17" i="34"/>
  <c r="J16" i="34"/>
  <c r="K16" i="34" s="1"/>
  <c r="C16" i="34"/>
  <c r="J15" i="34"/>
  <c r="K15" i="34" s="1"/>
  <c r="C15" i="34"/>
  <c r="J14" i="34"/>
  <c r="K14" i="34" s="1"/>
  <c r="C14" i="34"/>
  <c r="K13" i="34"/>
  <c r="J13" i="34"/>
  <c r="C13" i="34"/>
  <c r="J12" i="34"/>
  <c r="K12" i="34" s="1"/>
  <c r="C12" i="34"/>
  <c r="J11" i="34"/>
  <c r="K11" i="34" s="1"/>
  <c r="C11" i="34"/>
  <c r="J10" i="34"/>
  <c r="K10" i="34" s="1"/>
  <c r="C10" i="34"/>
  <c r="A92" i="26"/>
  <c r="A88" i="26"/>
  <c r="A89" i="26"/>
  <c r="A90" i="26"/>
  <c r="A91" i="26"/>
  <c r="A87" i="26"/>
  <c r="A92" i="24"/>
  <c r="A88" i="24"/>
  <c r="A89" i="24"/>
  <c r="A90" i="24"/>
  <c r="A91" i="24"/>
  <c r="A87" i="24"/>
  <c r="A92" i="28"/>
  <c r="A88" i="28"/>
  <c r="A89" i="28"/>
  <c r="A90" i="28"/>
  <c r="A91" i="28"/>
  <c r="A87" i="28"/>
  <c r="A92" i="30"/>
  <c r="A88" i="30"/>
  <c r="A89" i="30"/>
  <c r="A90" i="30"/>
  <c r="A91" i="30"/>
  <c r="A87" i="30"/>
  <c r="A92" i="31"/>
  <c r="A88" i="31"/>
  <c r="A89" i="31"/>
  <c r="A90" i="31"/>
  <c r="A91" i="31"/>
  <c r="A87" i="31"/>
  <c r="A92" i="33"/>
  <c r="A88" i="33"/>
  <c r="A89" i="33"/>
  <c r="A90" i="33"/>
  <c r="A91" i="33"/>
  <c r="A87" i="33"/>
  <c r="C86" i="33"/>
  <c r="Q70" i="33"/>
  <c r="K70" i="33"/>
  <c r="K69" i="33"/>
  <c r="K68" i="33"/>
  <c r="K67" i="33"/>
  <c r="Q66" i="33"/>
  <c r="K66" i="33"/>
  <c r="K65" i="33"/>
  <c r="Q64" i="33"/>
  <c r="I51" i="33"/>
  <c r="J51" i="33" s="1"/>
  <c r="D51" i="33"/>
  <c r="E51" i="33" s="1"/>
  <c r="F51" i="33" s="1"/>
  <c r="H92" i="33" s="1"/>
  <c r="I92" i="33" s="1"/>
  <c r="B51" i="33"/>
  <c r="A51" i="33"/>
  <c r="AA50" i="33"/>
  <c r="I50" i="33"/>
  <c r="Q69" i="33" s="1"/>
  <c r="E50" i="33"/>
  <c r="F50" i="33" s="1"/>
  <c r="H91" i="33" s="1"/>
  <c r="I91" i="33" s="1"/>
  <c r="D50" i="33"/>
  <c r="B50" i="33"/>
  <c r="A50" i="33"/>
  <c r="AA49" i="33"/>
  <c r="I49" i="33"/>
  <c r="Q68" i="33" s="1"/>
  <c r="E49" i="33"/>
  <c r="D49" i="33"/>
  <c r="B49" i="33"/>
  <c r="A49" i="33"/>
  <c r="AA48" i="33"/>
  <c r="I48" i="33"/>
  <c r="M48" i="33" s="1"/>
  <c r="D48" i="33"/>
  <c r="E48" i="33" s="1"/>
  <c r="F48" i="33" s="1"/>
  <c r="H89" i="33" s="1"/>
  <c r="I89" i="33" s="1"/>
  <c r="B48" i="33"/>
  <c r="A48" i="33"/>
  <c r="AA47" i="33"/>
  <c r="I47" i="33"/>
  <c r="M47" i="33" s="1"/>
  <c r="D47" i="33"/>
  <c r="E47" i="33" s="1"/>
  <c r="F47" i="33" s="1"/>
  <c r="H88" i="33" s="1"/>
  <c r="I88" i="33" s="1"/>
  <c r="B47" i="33"/>
  <c r="A47" i="33"/>
  <c r="I46" i="33"/>
  <c r="J46" i="33" s="1"/>
  <c r="D46" i="33"/>
  <c r="E46" i="33" s="1"/>
  <c r="F46" i="33" s="1"/>
  <c r="H87" i="33" s="1"/>
  <c r="I87" i="33" s="1"/>
  <c r="B46" i="33"/>
  <c r="H86" i="33" s="1"/>
  <c r="I86" i="33" s="1"/>
  <c r="A46" i="33"/>
  <c r="I44" i="33"/>
  <c r="P70" i="33" s="1"/>
  <c r="D44" i="33"/>
  <c r="E44" i="33" s="1"/>
  <c r="F44" i="33" s="1"/>
  <c r="G92" i="33" s="1"/>
  <c r="A44" i="33"/>
  <c r="AA43" i="33"/>
  <c r="I43" i="33"/>
  <c r="E43" i="33"/>
  <c r="F43" i="33" s="1"/>
  <c r="G91" i="33" s="1"/>
  <c r="D43" i="33"/>
  <c r="A43" i="33"/>
  <c r="AA42" i="33"/>
  <c r="I42" i="33"/>
  <c r="P68" i="33" s="1"/>
  <c r="E42" i="33"/>
  <c r="F42" i="33" s="1"/>
  <c r="G90" i="33" s="1"/>
  <c r="D42" i="33"/>
  <c r="A42" i="33"/>
  <c r="AA41" i="33"/>
  <c r="I41" i="33"/>
  <c r="D41" i="33"/>
  <c r="E41" i="33" s="1"/>
  <c r="F41" i="33" s="1"/>
  <c r="G89" i="33" s="1"/>
  <c r="A41" i="33"/>
  <c r="AA40" i="33"/>
  <c r="I40" i="33"/>
  <c r="P66" i="33" s="1"/>
  <c r="E40" i="33"/>
  <c r="F40" i="33" s="1"/>
  <c r="G88" i="33" s="1"/>
  <c r="D40" i="33"/>
  <c r="A40" i="33"/>
  <c r="J40" i="33" s="1"/>
  <c r="I39" i="33"/>
  <c r="J39" i="33" s="1"/>
  <c r="D39" i="33"/>
  <c r="E39" i="33" s="1"/>
  <c r="F39" i="33" s="1"/>
  <c r="G87" i="33" s="1"/>
  <c r="A39" i="33"/>
  <c r="I37" i="33"/>
  <c r="O70" i="33" s="1"/>
  <c r="D37" i="33"/>
  <c r="E37" i="33" s="1"/>
  <c r="F37" i="33" s="1"/>
  <c r="F92" i="33" s="1"/>
  <c r="A37" i="33"/>
  <c r="AA36" i="33"/>
  <c r="I36" i="33"/>
  <c r="O69" i="33" s="1"/>
  <c r="D36" i="33"/>
  <c r="E36" i="33" s="1"/>
  <c r="F36" i="33" s="1"/>
  <c r="F91" i="33" s="1"/>
  <c r="A36" i="33"/>
  <c r="AA35" i="33"/>
  <c r="I35" i="33"/>
  <c r="M35" i="33" s="1"/>
  <c r="D35" i="33"/>
  <c r="E35" i="33" s="1"/>
  <c r="F35" i="33" s="1"/>
  <c r="F90" i="33" s="1"/>
  <c r="A35" i="33"/>
  <c r="AA34" i="33"/>
  <c r="I34" i="33"/>
  <c r="J34" i="33" s="1"/>
  <c r="D34" i="33"/>
  <c r="E34" i="33" s="1"/>
  <c r="F34" i="33" s="1"/>
  <c r="F89" i="33" s="1"/>
  <c r="A34" i="33"/>
  <c r="AA33" i="33"/>
  <c r="I33" i="33"/>
  <c r="M33" i="33" s="1"/>
  <c r="E33" i="33"/>
  <c r="F33" i="33" s="1"/>
  <c r="F88" i="33" s="1"/>
  <c r="D33" i="33"/>
  <c r="A33" i="33"/>
  <c r="I32" i="33"/>
  <c r="O65" i="33" s="1"/>
  <c r="D32" i="33"/>
  <c r="E32" i="33" s="1"/>
  <c r="F32" i="33" s="1"/>
  <c r="F87" i="33" s="1"/>
  <c r="A32" i="33"/>
  <c r="I30" i="33"/>
  <c r="D30" i="33"/>
  <c r="E30" i="33" s="1"/>
  <c r="F30" i="33" s="1"/>
  <c r="E92" i="33" s="1"/>
  <c r="A30" i="33"/>
  <c r="AA29" i="33"/>
  <c r="I29" i="33"/>
  <c r="N69" i="33" s="1"/>
  <c r="E29" i="33"/>
  <c r="F29" i="33" s="1"/>
  <c r="E91" i="33" s="1"/>
  <c r="D29" i="33"/>
  <c r="A29" i="33"/>
  <c r="AA28" i="33"/>
  <c r="I28" i="33"/>
  <c r="N68" i="33" s="1"/>
  <c r="E28" i="33"/>
  <c r="D28" i="33"/>
  <c r="A28" i="33"/>
  <c r="AA27" i="33"/>
  <c r="I27" i="33"/>
  <c r="J27" i="33" s="1"/>
  <c r="D27" i="33"/>
  <c r="E27" i="33" s="1"/>
  <c r="F27" i="33" s="1"/>
  <c r="E89" i="33" s="1"/>
  <c r="A27" i="33"/>
  <c r="AA26" i="33"/>
  <c r="I26" i="33"/>
  <c r="D26" i="33"/>
  <c r="E26" i="33" s="1"/>
  <c r="F26" i="33" s="1"/>
  <c r="E88" i="33" s="1"/>
  <c r="A26" i="33"/>
  <c r="I25" i="33"/>
  <c r="N65" i="33" s="1"/>
  <c r="D25" i="33"/>
  <c r="E25" i="33" s="1"/>
  <c r="F25" i="33" s="1"/>
  <c r="E87" i="33" s="1"/>
  <c r="A25" i="33"/>
  <c r="I23" i="33"/>
  <c r="J23" i="33" s="1"/>
  <c r="E23" i="33"/>
  <c r="F23" i="33" s="1"/>
  <c r="D23" i="33"/>
  <c r="A23" i="33"/>
  <c r="AA22" i="33"/>
  <c r="I22" i="33"/>
  <c r="M69" i="33" s="1"/>
  <c r="E22" i="33"/>
  <c r="F22" i="33" s="1"/>
  <c r="D22" i="33"/>
  <c r="A22" i="33"/>
  <c r="AA21" i="33"/>
  <c r="I21" i="33"/>
  <c r="M68" i="33" s="1"/>
  <c r="D21" i="33"/>
  <c r="E21" i="33" s="1"/>
  <c r="A21" i="33"/>
  <c r="AA20" i="33"/>
  <c r="I20" i="33"/>
  <c r="M67" i="33" s="1"/>
  <c r="D20" i="33"/>
  <c r="E20" i="33" s="1"/>
  <c r="A20" i="33"/>
  <c r="AA19" i="33"/>
  <c r="I19" i="33"/>
  <c r="M19" i="33" s="1"/>
  <c r="E19" i="33"/>
  <c r="D88" i="33" s="1"/>
  <c r="D19" i="33"/>
  <c r="B19" i="33"/>
  <c r="A19" i="33"/>
  <c r="I18" i="33"/>
  <c r="J18" i="33" s="1"/>
  <c r="E18" i="33"/>
  <c r="F18" i="33" s="1"/>
  <c r="D87" i="33" s="1"/>
  <c r="D18" i="33"/>
  <c r="A18" i="33"/>
  <c r="I16" i="33"/>
  <c r="L70" i="33" s="1"/>
  <c r="E16" i="33"/>
  <c r="B16" i="33"/>
  <c r="A16" i="33"/>
  <c r="AA15" i="33"/>
  <c r="I15" i="33"/>
  <c r="L69" i="33" s="1"/>
  <c r="E15" i="33"/>
  <c r="C91" i="33" s="1"/>
  <c r="B15" i="33"/>
  <c r="A15" i="33"/>
  <c r="AA14" i="33"/>
  <c r="I14" i="33"/>
  <c r="M14" i="33" s="1"/>
  <c r="E14" i="33"/>
  <c r="B14" i="33"/>
  <c r="A14" i="33"/>
  <c r="AA13" i="33"/>
  <c r="I13" i="33"/>
  <c r="L67" i="33" s="1"/>
  <c r="E13" i="33"/>
  <c r="B13" i="33"/>
  <c r="A13" i="33"/>
  <c r="AA12" i="33"/>
  <c r="I12" i="33"/>
  <c r="M12" i="33" s="1"/>
  <c r="E12" i="33"/>
  <c r="B12" i="33"/>
  <c r="A12" i="33"/>
  <c r="I11" i="33"/>
  <c r="L65" i="33" s="1"/>
  <c r="E11" i="33"/>
  <c r="F11" i="33" s="1"/>
  <c r="C87" i="33" s="1"/>
  <c r="B11" i="33"/>
  <c r="L64" i="33" s="1"/>
  <c r="A11" i="33"/>
  <c r="AA10" i="33"/>
  <c r="AA9" i="33"/>
  <c r="B87" i="33"/>
  <c r="C6" i="33"/>
  <c r="P4" i="33"/>
  <c r="B20" i="33" s="1"/>
  <c r="J49" i="33" l="1"/>
  <c r="K49" i="33" s="1"/>
  <c r="M40" i="33"/>
  <c r="K23" i="33"/>
  <c r="K18" i="33"/>
  <c r="M43" i="33"/>
  <c r="M51" i="33"/>
  <c r="M41" i="33"/>
  <c r="M24" i="33"/>
  <c r="J35" i="33"/>
  <c r="K35" i="33" s="1"/>
  <c r="J15" i="33"/>
  <c r="K15" i="33" s="1"/>
  <c r="M15" i="33"/>
  <c r="M21" i="33"/>
  <c r="M23" i="33"/>
  <c r="M16" i="33"/>
  <c r="M30" i="33"/>
  <c r="M49" i="33"/>
  <c r="J22" i="33"/>
  <c r="K22" i="33" s="1"/>
  <c r="J12" i="33"/>
  <c r="K12" i="33" s="1"/>
  <c r="J28" i="33"/>
  <c r="K28" i="33" s="1"/>
  <c r="J29" i="33"/>
  <c r="K29" i="33" s="1"/>
  <c r="J13" i="33"/>
  <c r="K13" i="33" s="1"/>
  <c r="M29" i="33"/>
  <c r="J36" i="33"/>
  <c r="K36" i="33" s="1"/>
  <c r="M36" i="33"/>
  <c r="J47" i="33"/>
  <c r="K47" i="33" s="1"/>
  <c r="J50" i="33"/>
  <c r="K50" i="33" s="1"/>
  <c r="M50" i="33"/>
  <c r="P67" i="33"/>
  <c r="M13" i="33"/>
  <c r="K51" i="33"/>
  <c r="K40" i="33"/>
  <c r="K46" i="33"/>
  <c r="D92" i="33"/>
  <c r="K34" i="33"/>
  <c r="K39" i="33"/>
  <c r="D89" i="33"/>
  <c r="F20" i="33"/>
  <c r="F16" i="33"/>
  <c r="C92" i="33"/>
  <c r="F12" i="33"/>
  <c r="C88" i="33"/>
  <c r="C90" i="33"/>
  <c r="F14" i="33"/>
  <c r="C89" i="33"/>
  <c r="F13" i="33"/>
  <c r="D90" i="33"/>
  <c r="F21" i="33"/>
  <c r="K27" i="33"/>
  <c r="M34" i="33"/>
  <c r="J11" i="33"/>
  <c r="K11" i="33" s="1"/>
  <c r="F15" i="33"/>
  <c r="J16" i="33"/>
  <c r="K16" i="33" s="1"/>
  <c r="J33" i="33"/>
  <c r="K33" i="33" s="1"/>
  <c r="F49" i="33"/>
  <c r="H90" i="33" s="1"/>
  <c r="I90" i="33" s="1"/>
  <c r="P65" i="33"/>
  <c r="N67" i="33"/>
  <c r="B92" i="33"/>
  <c r="J21" i="33"/>
  <c r="K21" i="33" s="1"/>
  <c r="M22" i="33"/>
  <c r="M28" i="33"/>
  <c r="J44" i="33"/>
  <c r="K44" i="33" s="1"/>
  <c r="Q65" i="33"/>
  <c r="O67" i="33"/>
  <c r="J20" i="33"/>
  <c r="K20" i="33" s="1"/>
  <c r="J43" i="33"/>
  <c r="K43" i="33" s="1"/>
  <c r="M44" i="33"/>
  <c r="L66" i="33"/>
  <c r="Q67" i="33"/>
  <c r="F19" i="33"/>
  <c r="J48" i="33"/>
  <c r="K48" i="33" s="1"/>
  <c r="P69" i="33"/>
  <c r="B90" i="33"/>
  <c r="D91" i="33"/>
  <c r="J26" i="33"/>
  <c r="K26" i="33" s="1"/>
  <c r="M27" i="33"/>
  <c r="J14" i="33"/>
  <c r="K14" i="33" s="1"/>
  <c r="B18" i="33"/>
  <c r="B23" i="33"/>
  <c r="J32" i="33"/>
  <c r="K32" i="33" s="1"/>
  <c r="J37" i="33"/>
  <c r="K37" i="33" s="1"/>
  <c r="M66" i="33"/>
  <c r="J19" i="33"/>
  <c r="K19" i="33" s="1"/>
  <c r="M20" i="33"/>
  <c r="M26" i="33"/>
  <c r="J42" i="33"/>
  <c r="K42" i="33" s="1"/>
  <c r="N66" i="33"/>
  <c r="L68" i="33"/>
  <c r="O66" i="33"/>
  <c r="B89" i="33"/>
  <c r="B22" i="33"/>
  <c r="M37" i="33"/>
  <c r="J25" i="33"/>
  <c r="K25" i="33" s="1"/>
  <c r="J30" i="33"/>
  <c r="K30" i="33" s="1"/>
  <c r="J41" i="33"/>
  <c r="K41" i="33" s="1"/>
  <c r="M42" i="33"/>
  <c r="O68" i="33"/>
  <c r="M70" i="33"/>
  <c r="B88" i="33"/>
  <c r="F28" i="33"/>
  <c r="E90" i="33" s="1"/>
  <c r="M65" i="33"/>
  <c r="N70" i="33"/>
  <c r="B91" i="33"/>
  <c r="B21" i="33"/>
  <c r="P5" i="33"/>
  <c r="B26" i="33" l="1"/>
  <c r="B27" i="33"/>
  <c r="B28" i="33"/>
  <c r="B25" i="33"/>
  <c r="B29" i="33"/>
  <c r="P6" i="33"/>
  <c r="B30" i="33"/>
  <c r="M64" i="33"/>
  <c r="D86" i="33"/>
  <c r="B37" i="33" l="1"/>
  <c r="B32" i="33"/>
  <c r="B33" i="33"/>
  <c r="B34" i="33"/>
  <c r="P7" i="33"/>
  <c r="B35" i="33"/>
  <c r="B36" i="33"/>
  <c r="E86" i="33"/>
  <c r="N64" i="33"/>
  <c r="B43" i="33" l="1"/>
  <c r="B44" i="33"/>
  <c r="B39" i="33"/>
  <c r="B40" i="33"/>
  <c r="B41" i="33"/>
  <c r="B42" i="33"/>
  <c r="F86" i="33"/>
  <c r="O64" i="33"/>
  <c r="G86" i="33" l="1"/>
  <c r="P64" i="33"/>
  <c r="C6" i="30" l="1"/>
  <c r="C6" i="31"/>
  <c r="D23" i="30"/>
  <c r="D22" i="30"/>
  <c r="D21" i="30"/>
  <c r="D20" i="30"/>
  <c r="D19" i="30"/>
  <c r="D16" i="30"/>
  <c r="D15" i="30"/>
  <c r="D14" i="30"/>
  <c r="D13" i="30"/>
  <c r="D12" i="30"/>
  <c r="D11" i="30"/>
  <c r="E11" i="30" s="1"/>
  <c r="D18" i="30"/>
  <c r="D30" i="30"/>
  <c r="D29" i="30"/>
  <c r="D28" i="30"/>
  <c r="D27" i="30"/>
  <c r="D26" i="30"/>
  <c r="B22" i="30"/>
  <c r="D25" i="30"/>
  <c r="D37" i="30"/>
  <c r="D36" i="30"/>
  <c r="D35" i="30"/>
  <c r="D34" i="30"/>
  <c r="D33" i="30"/>
  <c r="D32" i="30"/>
  <c r="D44" i="30"/>
  <c r="D43" i="30"/>
  <c r="D39" i="30"/>
  <c r="D40" i="30"/>
  <c r="E40" i="30" s="1"/>
  <c r="D41" i="30"/>
  <c r="D42" i="30"/>
  <c r="H51" i="31"/>
  <c r="C86" i="31"/>
  <c r="O70" i="31"/>
  <c r="K70" i="31"/>
  <c r="O69" i="31"/>
  <c r="K69" i="31"/>
  <c r="K68" i="31"/>
  <c r="L67" i="31"/>
  <c r="K67" i="31"/>
  <c r="K66" i="31"/>
  <c r="K65" i="31"/>
  <c r="L64" i="31"/>
  <c r="I51" i="31"/>
  <c r="Q70" i="31" s="1"/>
  <c r="E51" i="31"/>
  <c r="B51" i="31"/>
  <c r="A51" i="31"/>
  <c r="AA50" i="31"/>
  <c r="I50" i="31"/>
  <c r="E50" i="31"/>
  <c r="B50" i="31"/>
  <c r="A50" i="31"/>
  <c r="AA49" i="31"/>
  <c r="I49" i="31"/>
  <c r="Q68" i="31" s="1"/>
  <c r="E49" i="31"/>
  <c r="B49" i="31"/>
  <c r="A49" i="31"/>
  <c r="AA48" i="31"/>
  <c r="I48" i="31"/>
  <c r="E48" i="31"/>
  <c r="B48" i="31"/>
  <c r="A48" i="31"/>
  <c r="AA47" i="31"/>
  <c r="I47" i="31"/>
  <c r="Q66" i="31" s="1"/>
  <c r="E47" i="31"/>
  <c r="B47" i="31"/>
  <c r="A47" i="31"/>
  <c r="I46" i="31"/>
  <c r="J46" i="31" s="1"/>
  <c r="E46" i="31"/>
  <c r="B46" i="31"/>
  <c r="A46" i="31"/>
  <c r="I44" i="31"/>
  <c r="P70" i="31" s="1"/>
  <c r="E44" i="31"/>
  <c r="A44" i="31"/>
  <c r="AA43" i="31"/>
  <c r="I43" i="31"/>
  <c r="P69" i="31" s="1"/>
  <c r="E43" i="31"/>
  <c r="A43" i="31"/>
  <c r="AA42" i="31"/>
  <c r="I42" i="31"/>
  <c r="J42" i="31" s="1"/>
  <c r="E42" i="31"/>
  <c r="A42" i="31"/>
  <c r="AA41" i="31"/>
  <c r="I41" i="31"/>
  <c r="P67" i="31" s="1"/>
  <c r="E41" i="31"/>
  <c r="A41" i="31"/>
  <c r="AA40" i="31"/>
  <c r="I40" i="31"/>
  <c r="M40" i="31" s="1"/>
  <c r="E40" i="31"/>
  <c r="A40" i="31"/>
  <c r="I39" i="31"/>
  <c r="P65" i="31" s="1"/>
  <c r="E39" i="31"/>
  <c r="A39" i="31"/>
  <c r="I37" i="31"/>
  <c r="E37" i="31"/>
  <c r="A37" i="31"/>
  <c r="AA36" i="31"/>
  <c r="I36" i="31"/>
  <c r="E36" i="31"/>
  <c r="A36" i="31"/>
  <c r="AA35" i="31"/>
  <c r="J35" i="31"/>
  <c r="K35" i="31" s="1"/>
  <c r="I35" i="31"/>
  <c r="O68" i="31" s="1"/>
  <c r="E35" i="31"/>
  <c r="A35" i="31"/>
  <c r="AA34" i="31"/>
  <c r="I34" i="31"/>
  <c r="O67" i="31" s="1"/>
  <c r="E34" i="31"/>
  <c r="A34" i="31"/>
  <c r="AA33" i="31"/>
  <c r="I33" i="31"/>
  <c r="O66" i="31" s="1"/>
  <c r="E33" i="31"/>
  <c r="A33" i="31"/>
  <c r="I32" i="31"/>
  <c r="O65" i="31" s="1"/>
  <c r="E32" i="31"/>
  <c r="A32" i="31"/>
  <c r="I30" i="31"/>
  <c r="E30" i="31"/>
  <c r="A30" i="31"/>
  <c r="AA29" i="31"/>
  <c r="I29" i="31"/>
  <c r="E29" i="31"/>
  <c r="A29" i="31"/>
  <c r="AA28" i="31"/>
  <c r="I28" i="31"/>
  <c r="E28" i="31"/>
  <c r="A28" i="31"/>
  <c r="AA27" i="31"/>
  <c r="I27" i="31"/>
  <c r="J27" i="31" s="1"/>
  <c r="E27" i="31"/>
  <c r="A27" i="31"/>
  <c r="AA26" i="31"/>
  <c r="I26" i="31"/>
  <c r="J26" i="31" s="1"/>
  <c r="E26" i="31"/>
  <c r="A26" i="31"/>
  <c r="I25" i="31"/>
  <c r="N65" i="31" s="1"/>
  <c r="E25" i="31"/>
  <c r="A25" i="31"/>
  <c r="I23" i="31"/>
  <c r="M70" i="31" s="1"/>
  <c r="E23" i="31"/>
  <c r="B23" i="31"/>
  <c r="A23" i="31"/>
  <c r="AA22" i="31"/>
  <c r="I22" i="31"/>
  <c r="M69" i="31" s="1"/>
  <c r="E22" i="31"/>
  <c r="D91" i="31" s="1"/>
  <c r="A22" i="31"/>
  <c r="AA21" i="31"/>
  <c r="I21" i="31"/>
  <c r="E21" i="31"/>
  <c r="D90" i="31" s="1"/>
  <c r="B21" i="31"/>
  <c r="A21" i="31"/>
  <c r="AA20" i="31"/>
  <c r="I20" i="31"/>
  <c r="J20" i="31" s="1"/>
  <c r="E20" i="31"/>
  <c r="D89" i="31" s="1"/>
  <c r="B20" i="31"/>
  <c r="A20" i="31"/>
  <c r="AA19" i="31"/>
  <c r="I19" i="31"/>
  <c r="M66" i="31" s="1"/>
  <c r="E19" i="31"/>
  <c r="D88" i="31" s="1"/>
  <c r="B19" i="31"/>
  <c r="A19" i="31"/>
  <c r="I18" i="31"/>
  <c r="M65" i="31" s="1"/>
  <c r="E18" i="31"/>
  <c r="B18" i="31"/>
  <c r="A18" i="31"/>
  <c r="I16" i="31"/>
  <c r="E16" i="31"/>
  <c r="B16" i="31"/>
  <c r="A16" i="31"/>
  <c r="AA15" i="31"/>
  <c r="I15" i="31"/>
  <c r="L69" i="31" s="1"/>
  <c r="E15" i="31"/>
  <c r="B15" i="31"/>
  <c r="A15" i="31"/>
  <c r="AA14" i="31"/>
  <c r="I14" i="31"/>
  <c r="L68" i="31" s="1"/>
  <c r="E14" i="31"/>
  <c r="C90" i="31" s="1"/>
  <c r="B14" i="31"/>
  <c r="A14" i="31"/>
  <c r="AA13" i="31"/>
  <c r="I13" i="31"/>
  <c r="E13" i="31"/>
  <c r="C89" i="31" s="1"/>
  <c r="B13" i="31"/>
  <c r="A13" i="31"/>
  <c r="AA12" i="31"/>
  <c r="I12" i="31"/>
  <c r="L66" i="31" s="1"/>
  <c r="E12" i="31"/>
  <c r="C88" i="31" s="1"/>
  <c r="B12" i="31"/>
  <c r="A12" i="31"/>
  <c r="I11" i="31"/>
  <c r="L65" i="31" s="1"/>
  <c r="E11" i="31"/>
  <c r="B11" i="31"/>
  <c r="A11" i="31"/>
  <c r="AA10" i="31"/>
  <c r="AA9" i="31"/>
  <c r="P5" i="31"/>
  <c r="P4" i="31"/>
  <c r="B22" i="31" s="1"/>
  <c r="K70" i="30"/>
  <c r="K69" i="30"/>
  <c r="K68" i="30"/>
  <c r="K67" i="30"/>
  <c r="K66" i="30"/>
  <c r="K65" i="30"/>
  <c r="Q64" i="30"/>
  <c r="I51" i="30"/>
  <c r="Q70" i="30" s="1"/>
  <c r="E51" i="30"/>
  <c r="B51" i="30"/>
  <c r="A51" i="30"/>
  <c r="J51" i="30" s="1"/>
  <c r="AA50" i="30"/>
  <c r="I50" i="30"/>
  <c r="Q69" i="30" s="1"/>
  <c r="E50" i="30"/>
  <c r="B50" i="30"/>
  <c r="A50" i="30"/>
  <c r="AA49" i="30"/>
  <c r="I49" i="30"/>
  <c r="Q68" i="30" s="1"/>
  <c r="E49" i="30"/>
  <c r="B49" i="30"/>
  <c r="A49" i="30"/>
  <c r="AA48" i="30"/>
  <c r="I48" i="30"/>
  <c r="E48" i="30"/>
  <c r="B48" i="30"/>
  <c r="A48" i="30"/>
  <c r="AA47" i="30"/>
  <c r="I47" i="30"/>
  <c r="Q66" i="30" s="1"/>
  <c r="E47" i="30"/>
  <c r="B47" i="30"/>
  <c r="A47" i="30"/>
  <c r="I46" i="30"/>
  <c r="Q65" i="30" s="1"/>
  <c r="E46" i="30"/>
  <c r="B46" i="30"/>
  <c r="H86" i="30" s="1"/>
  <c r="I86" i="30" s="1"/>
  <c r="A46" i="30"/>
  <c r="I44" i="30"/>
  <c r="P70" i="30" s="1"/>
  <c r="E44" i="30"/>
  <c r="A44" i="30"/>
  <c r="AA43" i="30"/>
  <c r="I43" i="30"/>
  <c r="E43" i="30"/>
  <c r="A43" i="30"/>
  <c r="AA42" i="30"/>
  <c r="I42" i="30"/>
  <c r="E42" i="30"/>
  <c r="A42" i="30"/>
  <c r="AA41" i="30"/>
  <c r="I41" i="30"/>
  <c r="E41" i="30"/>
  <c r="A41" i="30"/>
  <c r="AA40" i="30"/>
  <c r="I40" i="30"/>
  <c r="P66" i="30" s="1"/>
  <c r="A40" i="30"/>
  <c r="I39" i="30"/>
  <c r="E39" i="30"/>
  <c r="A39" i="30"/>
  <c r="I37" i="30"/>
  <c r="O70" i="30" s="1"/>
  <c r="E37" i="30"/>
  <c r="A37" i="30"/>
  <c r="J37" i="30" s="1"/>
  <c r="AA36" i="30"/>
  <c r="I36" i="30"/>
  <c r="O69" i="30" s="1"/>
  <c r="E36" i="30"/>
  <c r="A36" i="30"/>
  <c r="AA35" i="30"/>
  <c r="I35" i="30"/>
  <c r="O68" i="30" s="1"/>
  <c r="E35" i="30"/>
  <c r="A35" i="30"/>
  <c r="AA34" i="30"/>
  <c r="I34" i="30"/>
  <c r="E34" i="30"/>
  <c r="A34" i="30"/>
  <c r="AA33" i="30"/>
  <c r="I33" i="30"/>
  <c r="M33" i="30" s="1"/>
  <c r="E33" i="30"/>
  <c r="A33" i="30"/>
  <c r="I32" i="30"/>
  <c r="O65" i="30" s="1"/>
  <c r="E32" i="30"/>
  <c r="A32" i="30"/>
  <c r="I30" i="30"/>
  <c r="N70" i="30" s="1"/>
  <c r="E30" i="30"/>
  <c r="A30" i="30"/>
  <c r="AA29" i="30"/>
  <c r="I29" i="30"/>
  <c r="N69" i="30" s="1"/>
  <c r="E29" i="30"/>
  <c r="A29" i="30"/>
  <c r="AA28" i="30"/>
  <c r="I28" i="30"/>
  <c r="N68" i="30" s="1"/>
  <c r="E28" i="30"/>
  <c r="A28" i="30"/>
  <c r="AA27" i="30"/>
  <c r="I27" i="30"/>
  <c r="E27" i="30"/>
  <c r="A27" i="30"/>
  <c r="AA26" i="30"/>
  <c r="I26" i="30"/>
  <c r="E26" i="30"/>
  <c r="A26" i="30"/>
  <c r="I25" i="30"/>
  <c r="N65" i="30" s="1"/>
  <c r="E25" i="30"/>
  <c r="A25" i="30"/>
  <c r="I23" i="30"/>
  <c r="M70" i="30" s="1"/>
  <c r="E23" i="30"/>
  <c r="B23" i="30"/>
  <c r="A23" i="30"/>
  <c r="AA22" i="30"/>
  <c r="I22" i="30"/>
  <c r="E22" i="30"/>
  <c r="A22" i="30"/>
  <c r="AA21" i="30"/>
  <c r="I21" i="30"/>
  <c r="E21" i="30"/>
  <c r="A21" i="30"/>
  <c r="AA20" i="30"/>
  <c r="I20" i="30"/>
  <c r="M67" i="30" s="1"/>
  <c r="E20" i="30"/>
  <c r="A20" i="30"/>
  <c r="AA19" i="30"/>
  <c r="I19" i="30"/>
  <c r="M24" i="30" s="1"/>
  <c r="E19" i="30"/>
  <c r="D88" i="30" s="1"/>
  <c r="B19" i="30"/>
  <c r="A19" i="30"/>
  <c r="I18" i="30"/>
  <c r="M65" i="30" s="1"/>
  <c r="E18" i="30"/>
  <c r="B18" i="30"/>
  <c r="D86" i="30" s="1"/>
  <c r="A18" i="30"/>
  <c r="I16" i="30"/>
  <c r="E16" i="30"/>
  <c r="B16" i="30"/>
  <c r="A16" i="30"/>
  <c r="AA15" i="30"/>
  <c r="I15" i="30"/>
  <c r="L69" i="30" s="1"/>
  <c r="E15" i="30"/>
  <c r="B15" i="30"/>
  <c r="A15" i="30"/>
  <c r="AA14" i="30"/>
  <c r="I14" i="30"/>
  <c r="L68" i="30" s="1"/>
  <c r="E14" i="30"/>
  <c r="B14" i="30"/>
  <c r="A14" i="30"/>
  <c r="AA13" i="30"/>
  <c r="I13" i="30"/>
  <c r="L67" i="30" s="1"/>
  <c r="E13" i="30"/>
  <c r="B13" i="30"/>
  <c r="A13" i="30"/>
  <c r="AA12" i="30"/>
  <c r="I12" i="30"/>
  <c r="M12" i="30" s="1"/>
  <c r="E12" i="30"/>
  <c r="B12" i="30"/>
  <c r="A12" i="30"/>
  <c r="I11" i="30"/>
  <c r="L65" i="30" s="1"/>
  <c r="B11" i="30"/>
  <c r="C86" i="30" s="1"/>
  <c r="A11" i="30"/>
  <c r="AA10" i="30"/>
  <c r="AA9" i="30"/>
  <c r="P4" i="30"/>
  <c r="K65" i="28"/>
  <c r="K66" i="28"/>
  <c r="K67" i="28"/>
  <c r="K68" i="28"/>
  <c r="K69" i="28"/>
  <c r="K70" i="28"/>
  <c r="A46" i="28"/>
  <c r="B46" i="28"/>
  <c r="Q64" i="28" s="1"/>
  <c r="E46" i="28"/>
  <c r="I46" i="28"/>
  <c r="Q65" i="28" s="1"/>
  <c r="A47" i="28"/>
  <c r="B47" i="28"/>
  <c r="E47" i="28"/>
  <c r="I47" i="28"/>
  <c r="AA47" i="28"/>
  <c r="A48" i="28"/>
  <c r="B48" i="28"/>
  <c r="E48" i="28"/>
  <c r="I48" i="28"/>
  <c r="Q67" i="28" s="1"/>
  <c r="AA48" i="28"/>
  <c r="A49" i="28"/>
  <c r="B49" i="28"/>
  <c r="E49" i="28"/>
  <c r="I49" i="28"/>
  <c r="Q68" i="28" s="1"/>
  <c r="AA49" i="28"/>
  <c r="A50" i="28"/>
  <c r="B50" i="28"/>
  <c r="E50" i="28"/>
  <c r="I50" i="28"/>
  <c r="AA50" i="28"/>
  <c r="A51" i="28"/>
  <c r="B51" i="28"/>
  <c r="E51" i="28"/>
  <c r="I51" i="28"/>
  <c r="Q70" i="28" s="1"/>
  <c r="A39" i="28"/>
  <c r="E39" i="28"/>
  <c r="I39" i="28"/>
  <c r="P65" i="28" s="1"/>
  <c r="A40" i="28"/>
  <c r="E40" i="28"/>
  <c r="I40" i="28"/>
  <c r="AA40" i="28"/>
  <c r="A41" i="28"/>
  <c r="E41" i="28"/>
  <c r="I41" i="28"/>
  <c r="AA41" i="28"/>
  <c r="A42" i="28"/>
  <c r="E42" i="28"/>
  <c r="I42" i="28"/>
  <c r="P68" i="28" s="1"/>
  <c r="AA42" i="28"/>
  <c r="A43" i="28"/>
  <c r="E43" i="28"/>
  <c r="I43" i="28"/>
  <c r="P69" i="28" s="1"/>
  <c r="AA43" i="28"/>
  <c r="A44" i="28"/>
  <c r="E44" i="28"/>
  <c r="I44" i="28"/>
  <c r="A32" i="28"/>
  <c r="E32" i="28"/>
  <c r="I32" i="28"/>
  <c r="O65" i="28" s="1"/>
  <c r="A33" i="28"/>
  <c r="E33" i="28"/>
  <c r="I33" i="28"/>
  <c r="O66" i="28" s="1"/>
  <c r="AA33" i="28"/>
  <c r="A34" i="28"/>
  <c r="E34" i="28"/>
  <c r="I34" i="28"/>
  <c r="AA34" i="28"/>
  <c r="A35" i="28"/>
  <c r="E35" i="28"/>
  <c r="I35" i="28"/>
  <c r="O68" i="28" s="1"/>
  <c r="AA35" i="28"/>
  <c r="A36" i="28"/>
  <c r="E36" i="28"/>
  <c r="I36" i="28"/>
  <c r="AA36" i="28"/>
  <c r="A37" i="28"/>
  <c r="E37" i="28"/>
  <c r="I37" i="28"/>
  <c r="O70" i="28" s="1"/>
  <c r="A18" i="28"/>
  <c r="E18" i="28"/>
  <c r="I18" i="28"/>
  <c r="M65" i="28" s="1"/>
  <c r="A19" i="28"/>
  <c r="E19" i="28"/>
  <c r="D88" i="28" s="1"/>
  <c r="I19" i="28"/>
  <c r="AA19" i="28"/>
  <c r="A20" i="28"/>
  <c r="E20" i="28"/>
  <c r="D89" i="28" s="1"/>
  <c r="I20" i="28"/>
  <c r="M67" i="28" s="1"/>
  <c r="AA20" i="28"/>
  <c r="A21" i="28"/>
  <c r="E21" i="28"/>
  <c r="I21" i="28"/>
  <c r="M68" i="28" s="1"/>
  <c r="AA21" i="28"/>
  <c r="A22" i="28"/>
  <c r="E22" i="28"/>
  <c r="D91" i="28" s="1"/>
  <c r="I22" i="28"/>
  <c r="M69" i="28" s="1"/>
  <c r="AA22" i="28"/>
  <c r="A23" i="28"/>
  <c r="E23" i="28"/>
  <c r="D92" i="28" s="1"/>
  <c r="I23" i="28"/>
  <c r="A25" i="28"/>
  <c r="E25" i="28"/>
  <c r="I25" i="28"/>
  <c r="N65" i="28" s="1"/>
  <c r="A26" i="28"/>
  <c r="E26" i="28"/>
  <c r="I26" i="28"/>
  <c r="M26" i="28" s="1"/>
  <c r="AA26" i="28"/>
  <c r="A27" i="28"/>
  <c r="E27" i="28"/>
  <c r="I27" i="28"/>
  <c r="N67" i="28" s="1"/>
  <c r="AA27" i="28"/>
  <c r="A28" i="28"/>
  <c r="E28" i="28"/>
  <c r="I28" i="28"/>
  <c r="AA28" i="28"/>
  <c r="A29" i="28"/>
  <c r="E29" i="28"/>
  <c r="I29" i="28"/>
  <c r="AA29" i="28"/>
  <c r="A30" i="28"/>
  <c r="E30" i="28"/>
  <c r="I30" i="28"/>
  <c r="N70" i="28" s="1"/>
  <c r="P4" i="28"/>
  <c r="C6" i="28"/>
  <c r="AA9" i="28"/>
  <c r="AA10" i="28"/>
  <c r="A11" i="28"/>
  <c r="B11" i="28"/>
  <c r="C86" i="28" s="1"/>
  <c r="E11" i="28"/>
  <c r="I11" i="28"/>
  <c r="L65" i="28" s="1"/>
  <c r="A12" i="28"/>
  <c r="B12" i="28"/>
  <c r="E12" i="28"/>
  <c r="C88" i="28" s="1"/>
  <c r="I12" i="28"/>
  <c r="M12" i="28" s="1"/>
  <c r="AA12" i="28"/>
  <c r="A13" i="28"/>
  <c r="B13" i="28"/>
  <c r="E13" i="28"/>
  <c r="I13" i="28"/>
  <c r="L67" i="28" s="1"/>
  <c r="AA13" i="28"/>
  <c r="A14" i="28"/>
  <c r="B14" i="28"/>
  <c r="E14" i="28"/>
  <c r="C90" i="28" s="1"/>
  <c r="I14" i="28"/>
  <c r="AA14" i="28"/>
  <c r="A15" i="28"/>
  <c r="B15" i="28"/>
  <c r="E15" i="28"/>
  <c r="C91" i="28" s="1"/>
  <c r="I15" i="28"/>
  <c r="L69" i="28" s="1"/>
  <c r="AA15" i="28"/>
  <c r="A16" i="28"/>
  <c r="B16" i="28"/>
  <c r="E16" i="28"/>
  <c r="I16" i="28"/>
  <c r="L70" i="28" s="1"/>
  <c r="M44" i="28" l="1"/>
  <c r="N67" i="31"/>
  <c r="M29" i="31"/>
  <c r="J23" i="31"/>
  <c r="K23" i="31" s="1"/>
  <c r="M67" i="31"/>
  <c r="J19" i="31"/>
  <c r="K19" i="31" s="1"/>
  <c r="M23" i="31"/>
  <c r="M24" i="31"/>
  <c r="M19" i="31"/>
  <c r="J18" i="31"/>
  <c r="K18" i="31" s="1"/>
  <c r="J15" i="31"/>
  <c r="K15" i="31" s="1"/>
  <c r="M15" i="31"/>
  <c r="J11" i="31"/>
  <c r="K11" i="31" s="1"/>
  <c r="C91" i="31"/>
  <c r="K20" i="31"/>
  <c r="K26" i="31"/>
  <c r="K27" i="31"/>
  <c r="N69" i="31"/>
  <c r="M48" i="31"/>
  <c r="M43" i="31"/>
  <c r="Q67" i="31"/>
  <c r="J47" i="31"/>
  <c r="M47" i="31"/>
  <c r="Q65" i="31"/>
  <c r="J43" i="31"/>
  <c r="K43" i="31" s="1"/>
  <c r="M41" i="31"/>
  <c r="M44" i="31"/>
  <c r="M35" i="31"/>
  <c r="M34" i="31"/>
  <c r="M36" i="31"/>
  <c r="J34" i="31"/>
  <c r="K34" i="31" s="1"/>
  <c r="M37" i="31"/>
  <c r="J32" i="31"/>
  <c r="K32" i="31" s="1"/>
  <c r="K42" i="31"/>
  <c r="B90" i="28"/>
  <c r="B88" i="28"/>
  <c r="F13" i="28"/>
  <c r="F29" i="28"/>
  <c r="E91" i="28" s="1"/>
  <c r="F35" i="28"/>
  <c r="F90" i="28" s="1"/>
  <c r="F46" i="28"/>
  <c r="H87" i="28" s="1"/>
  <c r="I87" i="28" s="1"/>
  <c r="F18" i="28"/>
  <c r="D87" i="28" s="1"/>
  <c r="F25" i="28"/>
  <c r="E87" i="28" s="1"/>
  <c r="F21" i="28"/>
  <c r="F41" i="28"/>
  <c r="G89" i="28" s="1"/>
  <c r="F28" i="28"/>
  <c r="E90" i="28" s="1"/>
  <c r="F37" i="28"/>
  <c r="F92" i="28" s="1"/>
  <c r="F34" i="28"/>
  <c r="F89" i="28" s="1"/>
  <c r="F50" i="28"/>
  <c r="H91" i="28" s="1"/>
  <c r="I91" i="28" s="1"/>
  <c r="F43" i="28"/>
  <c r="G91" i="28" s="1"/>
  <c r="F40" i="28"/>
  <c r="G88" i="28" s="1"/>
  <c r="F30" i="28"/>
  <c r="E92" i="28" s="1"/>
  <c r="F27" i="28"/>
  <c r="E89" i="28" s="1"/>
  <c r="F36" i="28"/>
  <c r="F91" i="28" s="1"/>
  <c r="F33" i="28"/>
  <c r="F88" i="28" s="1"/>
  <c r="F47" i="28"/>
  <c r="H88" i="28" s="1"/>
  <c r="I88" i="28" s="1"/>
  <c r="F11" i="28"/>
  <c r="C87" i="28" s="1"/>
  <c r="L64" i="28"/>
  <c r="F42" i="28"/>
  <c r="G90" i="28" s="1"/>
  <c r="F49" i="28"/>
  <c r="H90" i="28" s="1"/>
  <c r="I90" i="28" s="1"/>
  <c r="F32" i="28"/>
  <c r="F87" i="28" s="1"/>
  <c r="M29" i="28"/>
  <c r="M41" i="28"/>
  <c r="J12" i="28"/>
  <c r="K12" i="28" s="1"/>
  <c r="J16" i="28"/>
  <c r="J15" i="28"/>
  <c r="J21" i="28"/>
  <c r="M20" i="28"/>
  <c r="J20" i="28"/>
  <c r="K20" i="28" s="1"/>
  <c r="M19" i="28"/>
  <c r="N66" i="28"/>
  <c r="J26" i="28"/>
  <c r="K26" i="28" s="1"/>
  <c r="M43" i="28"/>
  <c r="P70" i="28"/>
  <c r="J43" i="28"/>
  <c r="K43" i="28" s="1"/>
  <c r="M42" i="28"/>
  <c r="J32" i="28"/>
  <c r="F15" i="28"/>
  <c r="K16" i="28"/>
  <c r="F12" i="28"/>
  <c r="F14" i="28"/>
  <c r="K21" i="28"/>
  <c r="M48" i="28"/>
  <c r="J48" i="28"/>
  <c r="K48" i="28" s="1"/>
  <c r="M47" i="28"/>
  <c r="J51" i="28"/>
  <c r="K51" i="28" s="1"/>
  <c r="J36" i="28"/>
  <c r="K36" i="28" s="1"/>
  <c r="J50" i="28"/>
  <c r="K50" i="28" s="1"/>
  <c r="J14" i="28"/>
  <c r="K14" i="28" s="1"/>
  <c r="J34" i="28"/>
  <c r="K34" i="28" s="1"/>
  <c r="J28" i="30"/>
  <c r="J23" i="30"/>
  <c r="J22" i="30"/>
  <c r="K22" i="30" s="1"/>
  <c r="M21" i="30"/>
  <c r="M22" i="30"/>
  <c r="J18" i="30"/>
  <c r="K18" i="30" s="1"/>
  <c r="F42" i="31"/>
  <c r="G90" i="31" s="1"/>
  <c r="F29" i="31"/>
  <c r="E91" i="31" s="1"/>
  <c r="F26" i="31"/>
  <c r="E88" i="31" s="1"/>
  <c r="F37" i="30"/>
  <c r="F92" i="30" s="1"/>
  <c r="F46" i="30"/>
  <c r="H87" i="30" s="1"/>
  <c r="I87" i="30" s="1"/>
  <c r="F28" i="30"/>
  <c r="E90" i="30" s="1"/>
  <c r="F25" i="30"/>
  <c r="E87" i="30" s="1"/>
  <c r="J36" i="30"/>
  <c r="J33" i="30"/>
  <c r="J32" i="30"/>
  <c r="J51" i="31"/>
  <c r="K51" i="31" s="1"/>
  <c r="M51" i="31"/>
  <c r="K47" i="31"/>
  <c r="M49" i="31"/>
  <c r="K46" i="31"/>
  <c r="F34" i="31"/>
  <c r="F89" i="31" s="1"/>
  <c r="F30" i="31"/>
  <c r="E92" i="31" s="1"/>
  <c r="F49" i="31"/>
  <c r="H90" i="31" s="1"/>
  <c r="I90" i="31" s="1"/>
  <c r="F41" i="31"/>
  <c r="G89" i="31" s="1"/>
  <c r="F11" i="31"/>
  <c r="C87" i="31" s="1"/>
  <c r="B90" i="31"/>
  <c r="B88" i="31"/>
  <c r="B89" i="31"/>
  <c r="B91" i="31"/>
  <c r="B92" i="31"/>
  <c r="F22" i="31"/>
  <c r="F13" i="31"/>
  <c r="F39" i="31"/>
  <c r="G87" i="31" s="1"/>
  <c r="F50" i="31"/>
  <c r="H91" i="31" s="1"/>
  <c r="I91" i="31" s="1"/>
  <c r="F46" i="31"/>
  <c r="H87" i="31" s="1"/>
  <c r="I87" i="31" s="1"/>
  <c r="B87" i="31"/>
  <c r="F37" i="31"/>
  <c r="F92" i="31" s="1"/>
  <c r="F33" i="31"/>
  <c r="F88" i="31" s="1"/>
  <c r="F14" i="31"/>
  <c r="F18" i="31"/>
  <c r="D87" i="31" s="1"/>
  <c r="F15" i="31"/>
  <c r="F27" i="31"/>
  <c r="E89" i="31" s="1"/>
  <c r="B30" i="31"/>
  <c r="B26" i="31"/>
  <c r="B28" i="31"/>
  <c r="B27" i="31"/>
  <c r="J22" i="31"/>
  <c r="K22" i="31" s="1"/>
  <c r="B25" i="31"/>
  <c r="F25" i="31"/>
  <c r="E87" i="31" s="1"/>
  <c r="F40" i="31"/>
  <c r="G88" i="31" s="1"/>
  <c r="M22" i="31"/>
  <c r="J25" i="31"/>
  <c r="K25" i="31" s="1"/>
  <c r="P6" i="31"/>
  <c r="M27" i="31"/>
  <c r="F35" i="31"/>
  <c r="F90" i="31" s="1"/>
  <c r="J12" i="31"/>
  <c r="K12" i="31" s="1"/>
  <c r="F19" i="31"/>
  <c r="H86" i="31"/>
  <c r="I86" i="31" s="1"/>
  <c r="Q64" i="31"/>
  <c r="P68" i="31"/>
  <c r="M42" i="31"/>
  <c r="F51" i="31"/>
  <c r="H92" i="31" s="1"/>
  <c r="I92" i="31" s="1"/>
  <c r="J14" i="31"/>
  <c r="K14" i="31" s="1"/>
  <c r="F21" i="31"/>
  <c r="N70" i="31"/>
  <c r="M30" i="31"/>
  <c r="F43" i="31"/>
  <c r="G91" i="31" s="1"/>
  <c r="F48" i="31"/>
  <c r="H89" i="31" s="1"/>
  <c r="I89" i="31" s="1"/>
  <c r="M50" i="31"/>
  <c r="Q69" i="31"/>
  <c r="F16" i="31"/>
  <c r="J21" i="31"/>
  <c r="K21" i="31" s="1"/>
  <c r="M68" i="31"/>
  <c r="M21" i="31"/>
  <c r="F28" i="31"/>
  <c r="E90" i="31" s="1"/>
  <c r="J50" i="31"/>
  <c r="K50" i="31" s="1"/>
  <c r="F44" i="31"/>
  <c r="G92" i="31" s="1"/>
  <c r="M26" i="31"/>
  <c r="N66" i="31"/>
  <c r="M14" i="31"/>
  <c r="M28" i="31"/>
  <c r="D86" i="31"/>
  <c r="M64" i="31"/>
  <c r="F23" i="31"/>
  <c r="J16" i="31"/>
  <c r="K16" i="31" s="1"/>
  <c r="J30" i="31"/>
  <c r="K30" i="31" s="1"/>
  <c r="M13" i="31"/>
  <c r="J13" i="31"/>
  <c r="K13" i="31" s="1"/>
  <c r="B29" i="31"/>
  <c r="F32" i="31"/>
  <c r="F87" i="31" s="1"/>
  <c r="F36" i="31"/>
  <c r="F91" i="31" s="1"/>
  <c r="J39" i="31"/>
  <c r="K39" i="31" s="1"/>
  <c r="F47" i="31"/>
  <c r="H88" i="31" s="1"/>
  <c r="I88" i="31" s="1"/>
  <c r="C92" i="31"/>
  <c r="D92" i="31"/>
  <c r="F20" i="31"/>
  <c r="J29" i="31"/>
  <c r="K29" i="31" s="1"/>
  <c r="J33" i="31"/>
  <c r="K33" i="31" s="1"/>
  <c r="J37" i="31"/>
  <c r="K37" i="31" s="1"/>
  <c r="J41" i="31"/>
  <c r="K41" i="31" s="1"/>
  <c r="J49" i="31"/>
  <c r="K49" i="31" s="1"/>
  <c r="M33" i="31"/>
  <c r="J28" i="31"/>
  <c r="K28" i="31" s="1"/>
  <c r="J36" i="31"/>
  <c r="K36" i="31" s="1"/>
  <c r="J40" i="31"/>
  <c r="K40" i="31" s="1"/>
  <c r="J44" i="31"/>
  <c r="K44" i="31" s="1"/>
  <c r="J48" i="31"/>
  <c r="K48" i="31" s="1"/>
  <c r="P66" i="31"/>
  <c r="N68" i="31"/>
  <c r="L70" i="31"/>
  <c r="M12" i="31"/>
  <c r="M16" i="31"/>
  <c r="M20" i="31"/>
  <c r="F12" i="31"/>
  <c r="J26" i="30"/>
  <c r="J39" i="30"/>
  <c r="K39" i="30" s="1"/>
  <c r="J20" i="30"/>
  <c r="K20" i="30" s="1"/>
  <c r="J34" i="30"/>
  <c r="J42" i="30"/>
  <c r="J43" i="30"/>
  <c r="K43" i="30" s="1"/>
  <c r="K33" i="30"/>
  <c r="K23" i="30"/>
  <c r="K34" i="30"/>
  <c r="K51" i="30"/>
  <c r="K42" i="30"/>
  <c r="M15" i="30"/>
  <c r="M48" i="30"/>
  <c r="M34" i="30"/>
  <c r="J14" i="30"/>
  <c r="K14" i="30" s="1"/>
  <c r="M37" i="30"/>
  <c r="M51" i="30"/>
  <c r="M26" i="30"/>
  <c r="M41" i="30"/>
  <c r="J47" i="30"/>
  <c r="K47" i="30" s="1"/>
  <c r="M49" i="30"/>
  <c r="J29" i="30"/>
  <c r="K29" i="30" s="1"/>
  <c r="M47" i="30"/>
  <c r="J40" i="30"/>
  <c r="K40" i="30" s="1"/>
  <c r="M14" i="30"/>
  <c r="M43" i="30"/>
  <c r="J15" i="30"/>
  <c r="K15" i="30" s="1"/>
  <c r="M29" i="30"/>
  <c r="M40" i="30"/>
  <c r="P65" i="30"/>
  <c r="M27" i="30"/>
  <c r="J46" i="30"/>
  <c r="K46" i="30" s="1"/>
  <c r="J16" i="30"/>
  <c r="K16" i="30" s="1"/>
  <c r="F32" i="30"/>
  <c r="F87" i="30" s="1"/>
  <c r="D91" i="30"/>
  <c r="F22" i="30"/>
  <c r="K37" i="30"/>
  <c r="F43" i="30"/>
  <c r="G91" i="30" s="1"/>
  <c r="F51" i="30"/>
  <c r="H92" i="30" s="1"/>
  <c r="I92" i="30" s="1"/>
  <c r="K26" i="30"/>
  <c r="F29" i="30"/>
  <c r="E91" i="30" s="1"/>
  <c r="K32" i="30"/>
  <c r="F35" i="30"/>
  <c r="F90" i="30" s="1"/>
  <c r="F47" i="30"/>
  <c r="H88" i="30" s="1"/>
  <c r="I88" i="30" s="1"/>
  <c r="F49" i="30"/>
  <c r="H90" i="30" s="1"/>
  <c r="I90" i="30" s="1"/>
  <c r="F39" i="30"/>
  <c r="G87" i="30" s="1"/>
  <c r="F14" i="30"/>
  <c r="C90" i="30"/>
  <c r="C88" i="30"/>
  <c r="F12" i="30"/>
  <c r="F26" i="30"/>
  <c r="E88" i="30" s="1"/>
  <c r="D89" i="30"/>
  <c r="F20" i="30"/>
  <c r="F13" i="30"/>
  <c r="C89" i="30"/>
  <c r="F18" i="30"/>
  <c r="D87" i="30" s="1"/>
  <c r="D92" i="30"/>
  <c r="F23" i="30"/>
  <c r="F33" i="30"/>
  <c r="F88" i="30" s="1"/>
  <c r="F27" i="30"/>
  <c r="E89" i="30" s="1"/>
  <c r="F36" i="30"/>
  <c r="F91" i="30" s="1"/>
  <c r="F44" i="30"/>
  <c r="G92" i="30" s="1"/>
  <c r="F16" i="30"/>
  <c r="F41" i="30"/>
  <c r="G89" i="30" s="1"/>
  <c r="B87" i="30"/>
  <c r="B88" i="30"/>
  <c r="B89" i="30"/>
  <c r="F48" i="30"/>
  <c r="H89" i="30" s="1"/>
  <c r="I89" i="30" s="1"/>
  <c r="B90" i="30"/>
  <c r="B91" i="30"/>
  <c r="B92" i="30"/>
  <c r="F15" i="30"/>
  <c r="D90" i="30"/>
  <c r="F21" i="30"/>
  <c r="F11" i="30"/>
  <c r="C87" i="30" s="1"/>
  <c r="K36" i="30"/>
  <c r="F40" i="30"/>
  <c r="G88" i="30" s="1"/>
  <c r="F42" i="30"/>
  <c r="G90" i="30" s="1"/>
  <c r="F50" i="30"/>
  <c r="H91" i="30" s="1"/>
  <c r="I91" i="30" s="1"/>
  <c r="K28" i="30"/>
  <c r="F30" i="30"/>
  <c r="E92" i="30" s="1"/>
  <c r="F34" i="30"/>
  <c r="F89" i="30" s="1"/>
  <c r="J13" i="30"/>
  <c r="K13" i="30" s="1"/>
  <c r="N67" i="30"/>
  <c r="M19" i="30"/>
  <c r="J25" i="30"/>
  <c r="K25" i="30" s="1"/>
  <c r="J30" i="30"/>
  <c r="K30" i="30" s="1"/>
  <c r="J41" i="30"/>
  <c r="K41" i="30" s="1"/>
  <c r="M42" i="30"/>
  <c r="J50" i="30"/>
  <c r="K50" i="30" s="1"/>
  <c r="L64" i="30"/>
  <c r="O67" i="30"/>
  <c r="M69" i="30"/>
  <c r="C92" i="30"/>
  <c r="J12" i="30"/>
  <c r="K12" i="30" s="1"/>
  <c r="M13" i="30"/>
  <c r="B21" i="30"/>
  <c r="J35" i="30"/>
  <c r="K35" i="30" s="1"/>
  <c r="M36" i="30"/>
  <c r="M64" i="30"/>
  <c r="P67" i="30"/>
  <c r="M20" i="30"/>
  <c r="M30" i="30"/>
  <c r="M50" i="30"/>
  <c r="L66" i="30"/>
  <c r="Q67" i="30"/>
  <c r="C91" i="30"/>
  <c r="P5" i="30"/>
  <c r="B20" i="30"/>
  <c r="M35" i="30"/>
  <c r="J49" i="30"/>
  <c r="K49" i="30" s="1"/>
  <c r="M66" i="30"/>
  <c r="P69" i="30"/>
  <c r="M23" i="30"/>
  <c r="N66" i="30"/>
  <c r="J19" i="30"/>
  <c r="K19" i="30" s="1"/>
  <c r="J21" i="30"/>
  <c r="K21" i="30" s="1"/>
  <c r="J27" i="30"/>
  <c r="K27" i="30" s="1"/>
  <c r="M28" i="30"/>
  <c r="J44" i="30"/>
  <c r="K44" i="30" s="1"/>
  <c r="J48" i="30"/>
  <c r="K48" i="30" s="1"/>
  <c r="L70" i="30"/>
  <c r="J11" i="30"/>
  <c r="K11" i="30" s="1"/>
  <c r="O66" i="30"/>
  <c r="M16" i="30"/>
  <c r="M68" i="30"/>
  <c r="F19" i="30"/>
  <c r="M44" i="30"/>
  <c r="P68" i="30"/>
  <c r="J29" i="28"/>
  <c r="K29" i="28" s="1"/>
  <c r="J42" i="28"/>
  <c r="K42" i="28" s="1"/>
  <c r="J44" i="28"/>
  <c r="K44" i="28" s="1"/>
  <c r="J35" i="28"/>
  <c r="K35" i="28" s="1"/>
  <c r="M33" i="28"/>
  <c r="J39" i="28"/>
  <c r="K39" i="28" s="1"/>
  <c r="M66" i="28"/>
  <c r="O69" i="28"/>
  <c r="L66" i="28"/>
  <c r="J27" i="28"/>
  <c r="K27" i="28" s="1"/>
  <c r="J23" i="28"/>
  <c r="K23" i="28" s="1"/>
  <c r="J11" i="28"/>
  <c r="K11" i="28" s="1"/>
  <c r="M30" i="28"/>
  <c r="M27" i="28"/>
  <c r="J37" i="28"/>
  <c r="K37" i="28" s="1"/>
  <c r="J33" i="28"/>
  <c r="K33" i="28" s="1"/>
  <c r="J49" i="28"/>
  <c r="K49" i="28" s="1"/>
  <c r="K15" i="28"/>
  <c r="M37" i="28"/>
  <c r="M15" i="28"/>
  <c r="J13" i="28"/>
  <c r="K13" i="28" s="1"/>
  <c r="J30" i="28"/>
  <c r="K30" i="28" s="1"/>
  <c r="J25" i="28"/>
  <c r="K25" i="28" s="1"/>
  <c r="J19" i="28"/>
  <c r="K19" i="28" s="1"/>
  <c r="M36" i="28"/>
  <c r="M34" i="28"/>
  <c r="O67" i="28"/>
  <c r="M16" i="28"/>
  <c r="F19" i="28"/>
  <c r="F23" i="28"/>
  <c r="F51" i="28"/>
  <c r="H92" i="28" s="1"/>
  <c r="I92" i="28" s="1"/>
  <c r="F22" i="28"/>
  <c r="B19" i="28"/>
  <c r="P5" i="28"/>
  <c r="D90" i="28"/>
  <c r="B18" i="28"/>
  <c r="J47" i="28"/>
  <c r="K47" i="28" s="1"/>
  <c r="P67" i="28"/>
  <c r="F16" i="28"/>
  <c r="C92" i="28"/>
  <c r="M13" i="28"/>
  <c r="J22" i="28"/>
  <c r="K22" i="28" s="1"/>
  <c r="M22" i="28"/>
  <c r="B21" i="28"/>
  <c r="H86" i="28"/>
  <c r="I86" i="28" s="1"/>
  <c r="L68" i="28"/>
  <c r="B22" i="28"/>
  <c r="K32" i="28"/>
  <c r="Q66" i="28"/>
  <c r="M49" i="28"/>
  <c r="M23" i="28"/>
  <c r="M70" i="28"/>
  <c r="J40" i="28"/>
  <c r="K40" i="28" s="1"/>
  <c r="P66" i="28"/>
  <c r="M40" i="28"/>
  <c r="M50" i="28"/>
  <c r="M51" i="28"/>
  <c r="Q69" i="28"/>
  <c r="M14" i="28"/>
  <c r="B92" i="28"/>
  <c r="F48" i="28"/>
  <c r="H89" i="28" s="1"/>
  <c r="I89" i="28" s="1"/>
  <c r="F39" i="28"/>
  <c r="G87" i="28" s="1"/>
  <c r="F44" i="28"/>
  <c r="G92" i="28" s="1"/>
  <c r="F20" i="28"/>
  <c r="F26" i="28"/>
  <c r="E88" i="28" s="1"/>
  <c r="B91" i="28"/>
  <c r="M21" i="28"/>
  <c r="J28" i="28"/>
  <c r="K28" i="28" s="1"/>
  <c r="N68" i="28"/>
  <c r="M28" i="28"/>
  <c r="M35" i="28"/>
  <c r="C89" i="28"/>
  <c r="B23" i="28"/>
  <c r="B20" i="28"/>
  <c r="J18" i="28"/>
  <c r="K18" i="28" s="1"/>
  <c r="J41" i="28"/>
  <c r="K41" i="28" s="1"/>
  <c r="J46" i="28"/>
  <c r="K46" i="28" s="1"/>
  <c r="N69" i="28"/>
  <c r="B89" i="28"/>
  <c r="B87" i="28"/>
  <c r="B34" i="31" l="1"/>
  <c r="B35" i="31"/>
  <c r="B32" i="31"/>
  <c r="B36" i="31"/>
  <c r="P7" i="31"/>
  <c r="B37" i="31"/>
  <c r="B33" i="31"/>
  <c r="N64" i="31"/>
  <c r="E86" i="31"/>
  <c r="B29" i="30"/>
  <c r="B30" i="30"/>
  <c r="B25" i="30"/>
  <c r="P6" i="30"/>
  <c r="B26" i="30"/>
  <c r="B27" i="30"/>
  <c r="B28" i="30"/>
  <c r="D86" i="28"/>
  <c r="M64" i="28"/>
  <c r="P6" i="28"/>
  <c r="B27" i="28"/>
  <c r="B30" i="28"/>
  <c r="B29" i="28"/>
  <c r="B26" i="28"/>
  <c r="B28" i="28"/>
  <c r="B25" i="28"/>
  <c r="B42" i="31" l="1"/>
  <c r="B43" i="31"/>
  <c r="B44" i="31"/>
  <c r="B39" i="31"/>
  <c r="B40" i="31"/>
  <c r="B41" i="31"/>
  <c r="O64" i="31"/>
  <c r="F86" i="31"/>
  <c r="B34" i="30"/>
  <c r="B35" i="30"/>
  <c r="P7" i="30"/>
  <c r="B36" i="30"/>
  <c r="B37" i="30"/>
  <c r="B32" i="30"/>
  <c r="B33" i="30"/>
  <c r="E86" i="30"/>
  <c r="N64" i="30"/>
  <c r="N64" i="28"/>
  <c r="E86" i="28"/>
  <c r="B35" i="28"/>
  <c r="B34" i="28"/>
  <c r="B33" i="28"/>
  <c r="B37" i="28"/>
  <c r="P7" i="28"/>
  <c r="B36" i="28"/>
  <c r="B32" i="28"/>
  <c r="G86" i="31" l="1"/>
  <c r="P64" i="31"/>
  <c r="F86" i="30"/>
  <c r="O64" i="30"/>
  <c r="B40" i="30"/>
  <c r="B41" i="30"/>
  <c r="B42" i="30"/>
  <c r="B43" i="30"/>
  <c r="B44" i="30"/>
  <c r="B39" i="30"/>
  <c r="O64" i="28"/>
  <c r="F86" i="28"/>
  <c r="B43" i="28"/>
  <c r="B42" i="28"/>
  <c r="B40" i="28"/>
  <c r="B39" i="28"/>
  <c r="B41" i="28"/>
  <c r="B44" i="28"/>
  <c r="D23" i="26"/>
  <c r="D22" i="26"/>
  <c r="D21" i="26"/>
  <c r="D20" i="26"/>
  <c r="D19" i="26"/>
  <c r="D18" i="26"/>
  <c r="D16" i="26"/>
  <c r="D15" i="26"/>
  <c r="D14" i="26"/>
  <c r="D13" i="26"/>
  <c r="E13" i="26" s="1"/>
  <c r="C89" i="26" s="1"/>
  <c r="D12" i="26"/>
  <c r="D11" i="26"/>
  <c r="D30" i="26"/>
  <c r="D29" i="26"/>
  <c r="D28" i="26"/>
  <c r="D27" i="26"/>
  <c r="E27" i="26" s="1"/>
  <c r="D26" i="26"/>
  <c r="D25" i="26"/>
  <c r="D37" i="26"/>
  <c r="D36" i="26"/>
  <c r="D35" i="26"/>
  <c r="D34" i="26"/>
  <c r="D33" i="26"/>
  <c r="D32" i="26"/>
  <c r="D39" i="26"/>
  <c r="D40" i="26"/>
  <c r="D43" i="26"/>
  <c r="D42" i="26"/>
  <c r="D41" i="26"/>
  <c r="D44" i="26"/>
  <c r="L34" i="12"/>
  <c r="P5" i="26"/>
  <c r="P6" i="26" s="1"/>
  <c r="P7" i="26" s="1"/>
  <c r="K70" i="26"/>
  <c r="K69" i="26"/>
  <c r="K68" i="26"/>
  <c r="K67" i="26"/>
  <c r="K66" i="26"/>
  <c r="K65" i="26"/>
  <c r="I51" i="26"/>
  <c r="Q70" i="26" s="1"/>
  <c r="E51" i="26"/>
  <c r="A51" i="26"/>
  <c r="AA50" i="26"/>
  <c r="I50" i="26"/>
  <c r="Q69" i="26" s="1"/>
  <c r="E50" i="26"/>
  <c r="F50" i="26" s="1"/>
  <c r="H91" i="26" s="1"/>
  <c r="I91" i="26" s="1"/>
  <c r="A50" i="26"/>
  <c r="AA49" i="26"/>
  <c r="I49" i="26"/>
  <c r="E49" i="26"/>
  <c r="F49" i="26" s="1"/>
  <c r="H90" i="26" s="1"/>
  <c r="I90" i="26" s="1"/>
  <c r="A49" i="26"/>
  <c r="AA48" i="26"/>
  <c r="I48" i="26"/>
  <c r="Q67" i="26" s="1"/>
  <c r="E48" i="26"/>
  <c r="A48" i="26"/>
  <c r="AA47" i="26"/>
  <c r="I47" i="26"/>
  <c r="Q66" i="26" s="1"/>
  <c r="E47" i="26"/>
  <c r="A47" i="26"/>
  <c r="I46" i="26"/>
  <c r="J46" i="26" s="1"/>
  <c r="E46" i="26"/>
  <c r="F46" i="26" s="1"/>
  <c r="H87" i="26" s="1"/>
  <c r="I87" i="26" s="1"/>
  <c r="A46" i="26"/>
  <c r="I44" i="26"/>
  <c r="J44" i="26" s="1"/>
  <c r="E44" i="26"/>
  <c r="A44" i="26"/>
  <c r="AA43" i="26"/>
  <c r="I43" i="26"/>
  <c r="E43" i="26"/>
  <c r="A43" i="26"/>
  <c r="AA42" i="26"/>
  <c r="I42" i="26"/>
  <c r="P68" i="26" s="1"/>
  <c r="E42" i="26"/>
  <c r="F42" i="26" s="1"/>
  <c r="G90" i="26" s="1"/>
  <c r="A42" i="26"/>
  <c r="AA41" i="26"/>
  <c r="I41" i="26"/>
  <c r="E41" i="26"/>
  <c r="F41" i="26" s="1"/>
  <c r="G89" i="26" s="1"/>
  <c r="A41" i="26"/>
  <c r="AA40" i="26"/>
  <c r="I40" i="26"/>
  <c r="E40" i="26"/>
  <c r="A40" i="26"/>
  <c r="I39" i="26"/>
  <c r="P65" i="26" s="1"/>
  <c r="E39" i="26"/>
  <c r="A39" i="26"/>
  <c r="I37" i="26"/>
  <c r="E37" i="26"/>
  <c r="F37" i="26" s="1"/>
  <c r="F92" i="26" s="1"/>
  <c r="A37" i="26"/>
  <c r="AA36" i="26"/>
  <c r="I36" i="26"/>
  <c r="O69" i="26" s="1"/>
  <c r="E36" i="26"/>
  <c r="A36" i="26"/>
  <c r="AA35" i="26"/>
  <c r="I35" i="26"/>
  <c r="O68" i="26" s="1"/>
  <c r="E35" i="26"/>
  <c r="A35" i="26"/>
  <c r="J35" i="26" s="1"/>
  <c r="K35" i="26" s="1"/>
  <c r="AA34" i="26"/>
  <c r="I34" i="26"/>
  <c r="J34" i="26" s="1"/>
  <c r="E34" i="26"/>
  <c r="F34" i="26" s="1"/>
  <c r="F89" i="26" s="1"/>
  <c r="A34" i="26"/>
  <c r="AA33" i="26"/>
  <c r="I33" i="26"/>
  <c r="E33" i="26"/>
  <c r="F33" i="26" s="1"/>
  <c r="F88" i="26" s="1"/>
  <c r="A33" i="26"/>
  <c r="I32" i="26"/>
  <c r="O65" i="26" s="1"/>
  <c r="E32" i="26"/>
  <c r="A32" i="26"/>
  <c r="I30" i="26"/>
  <c r="E30" i="26"/>
  <c r="A30" i="26"/>
  <c r="AA29" i="26"/>
  <c r="I29" i="26"/>
  <c r="E29" i="26"/>
  <c r="F29" i="26" s="1"/>
  <c r="E91" i="26" s="1"/>
  <c r="A29" i="26"/>
  <c r="AA28" i="26"/>
  <c r="I28" i="26"/>
  <c r="N68" i="26" s="1"/>
  <c r="E28" i="26"/>
  <c r="A28" i="26"/>
  <c r="AA27" i="26"/>
  <c r="I27" i="26"/>
  <c r="A27" i="26"/>
  <c r="AA26" i="26"/>
  <c r="I26" i="26"/>
  <c r="N66" i="26" s="1"/>
  <c r="E26" i="26"/>
  <c r="F26" i="26" s="1"/>
  <c r="E88" i="26" s="1"/>
  <c r="A26" i="26"/>
  <c r="I25" i="26"/>
  <c r="N65" i="26" s="1"/>
  <c r="E25" i="26"/>
  <c r="F25" i="26" s="1"/>
  <c r="E87" i="26" s="1"/>
  <c r="A25" i="26"/>
  <c r="I23" i="26"/>
  <c r="M70" i="26" s="1"/>
  <c r="E23" i="26"/>
  <c r="A23" i="26"/>
  <c r="AA22" i="26"/>
  <c r="I22" i="26"/>
  <c r="E22" i="26"/>
  <c r="D91" i="26" s="1"/>
  <c r="A22" i="26"/>
  <c r="AA21" i="26"/>
  <c r="I21" i="26"/>
  <c r="M68" i="26" s="1"/>
  <c r="E21" i="26"/>
  <c r="D90" i="26" s="1"/>
  <c r="A21" i="26"/>
  <c r="AA20" i="26"/>
  <c r="I20" i="26"/>
  <c r="M20" i="26" s="1"/>
  <c r="E20" i="26"/>
  <c r="F20" i="26" s="1"/>
  <c r="A20" i="26"/>
  <c r="AA19" i="26"/>
  <c r="I19" i="26"/>
  <c r="J19" i="26" s="1"/>
  <c r="E19" i="26"/>
  <c r="D88" i="26" s="1"/>
  <c r="A19" i="26"/>
  <c r="I18" i="26"/>
  <c r="M65" i="26" s="1"/>
  <c r="E18" i="26"/>
  <c r="F18" i="26" s="1"/>
  <c r="D87" i="26" s="1"/>
  <c r="A18" i="26"/>
  <c r="I16" i="26"/>
  <c r="J16" i="26" s="1"/>
  <c r="E16" i="26"/>
  <c r="C92" i="26" s="1"/>
  <c r="B16" i="26"/>
  <c r="A16" i="26"/>
  <c r="AA15" i="26"/>
  <c r="I15" i="26"/>
  <c r="J15" i="26" s="1"/>
  <c r="E15" i="26"/>
  <c r="F15" i="26" s="1"/>
  <c r="B15" i="26"/>
  <c r="A15" i="26"/>
  <c r="AA14" i="26"/>
  <c r="I14" i="26"/>
  <c r="L68" i="26" s="1"/>
  <c r="E14" i="26"/>
  <c r="C90" i="26" s="1"/>
  <c r="A14" i="26"/>
  <c r="AA13" i="26"/>
  <c r="I13" i="26"/>
  <c r="L67" i="26" s="1"/>
  <c r="B13" i="26"/>
  <c r="A13" i="26"/>
  <c r="AA12" i="26"/>
  <c r="I12" i="26"/>
  <c r="M12" i="26" s="1"/>
  <c r="E12" i="26"/>
  <c r="C88" i="26" s="1"/>
  <c r="B12" i="26"/>
  <c r="A12" i="26"/>
  <c r="I11" i="26"/>
  <c r="L65" i="26" s="1"/>
  <c r="E11" i="26"/>
  <c r="A11" i="26"/>
  <c r="AA10" i="26"/>
  <c r="AA9" i="26"/>
  <c r="J7" i="26"/>
  <c r="B88" i="26" s="1"/>
  <c r="C6" i="26"/>
  <c r="J6" i="26"/>
  <c r="J5" i="26"/>
  <c r="B14" i="26"/>
  <c r="U30" i="12"/>
  <c r="T31" i="12"/>
  <c r="U31" i="12" s="1"/>
  <c r="C86" i="24"/>
  <c r="C6" i="24"/>
  <c r="D44" i="24"/>
  <c r="D50" i="24"/>
  <c r="G86" i="30" l="1"/>
  <c r="P64" i="30"/>
  <c r="P64" i="28"/>
  <c r="G86" i="28"/>
  <c r="M27" i="26"/>
  <c r="M29" i="26"/>
  <c r="K34" i="26"/>
  <c r="Q68" i="26"/>
  <c r="J49" i="26"/>
  <c r="P66" i="26"/>
  <c r="M44" i="26"/>
  <c r="M41" i="26"/>
  <c r="M43" i="26"/>
  <c r="J12" i="26"/>
  <c r="M14" i="26"/>
  <c r="M23" i="26"/>
  <c r="M24" i="26"/>
  <c r="M30" i="26"/>
  <c r="J30" i="26"/>
  <c r="K30" i="26" s="1"/>
  <c r="M50" i="26"/>
  <c r="M66" i="26"/>
  <c r="P69" i="26"/>
  <c r="M48" i="26"/>
  <c r="M67" i="26"/>
  <c r="J13" i="26"/>
  <c r="K13" i="26" s="1"/>
  <c r="J39" i="26"/>
  <c r="J42" i="26"/>
  <c r="K42" i="26" s="1"/>
  <c r="N67" i="26"/>
  <c r="M42" i="26"/>
  <c r="O67" i="26"/>
  <c r="N70" i="26"/>
  <c r="M26" i="26"/>
  <c r="J51" i="26"/>
  <c r="K51" i="26" s="1"/>
  <c r="P70" i="26"/>
  <c r="M15" i="26"/>
  <c r="J11" i="26"/>
  <c r="K11" i="26" s="1"/>
  <c r="M13" i="26"/>
  <c r="M19" i="26"/>
  <c r="M22" i="26"/>
  <c r="M35" i="26"/>
  <c r="J43" i="26"/>
  <c r="K43" i="26" s="1"/>
  <c r="J47" i="26"/>
  <c r="K47" i="26" s="1"/>
  <c r="Q65" i="26"/>
  <c r="J27" i="26"/>
  <c r="K27" i="26" s="1"/>
  <c r="L66" i="26"/>
  <c r="L69" i="26"/>
  <c r="K15" i="26"/>
  <c r="K39" i="26"/>
  <c r="K46" i="26"/>
  <c r="K16" i="26"/>
  <c r="J33" i="26"/>
  <c r="K33" i="26" s="1"/>
  <c r="F43" i="26"/>
  <c r="G91" i="26" s="1"/>
  <c r="M47" i="26"/>
  <c r="M49" i="26"/>
  <c r="M69" i="26"/>
  <c r="M21" i="26"/>
  <c r="N69" i="26"/>
  <c r="D89" i="26"/>
  <c r="J18" i="26"/>
  <c r="K18" i="26" s="1"/>
  <c r="J23" i="26"/>
  <c r="K23" i="26" s="1"/>
  <c r="J29" i="26"/>
  <c r="K29" i="26" s="1"/>
  <c r="F23" i="26"/>
  <c r="D92" i="26"/>
  <c r="K49" i="26"/>
  <c r="F14" i="26"/>
  <c r="B91" i="26"/>
  <c r="O66" i="26"/>
  <c r="M33" i="26"/>
  <c r="J25" i="26"/>
  <c r="K25" i="26" s="1"/>
  <c r="F35" i="26"/>
  <c r="F90" i="26" s="1"/>
  <c r="J41" i="26"/>
  <c r="K41" i="26" s="1"/>
  <c r="B87" i="26"/>
  <c r="K12" i="26"/>
  <c r="F32" i="26"/>
  <c r="F87" i="26" s="1"/>
  <c r="M37" i="26"/>
  <c r="F40" i="26"/>
  <c r="G88" i="26" s="1"/>
  <c r="F11" i="26"/>
  <c r="C87" i="26" s="1"/>
  <c r="J14" i="26"/>
  <c r="K14" i="26" s="1"/>
  <c r="J20" i="26"/>
  <c r="K20" i="26" s="1"/>
  <c r="J26" i="26"/>
  <c r="K26" i="26" s="1"/>
  <c r="J32" i="26"/>
  <c r="K32" i="26" s="1"/>
  <c r="J37" i="26"/>
  <c r="K37" i="26" s="1"/>
  <c r="F48" i="26"/>
  <c r="H89" i="26" s="1"/>
  <c r="I89" i="26" s="1"/>
  <c r="F51" i="26"/>
  <c r="H92" i="26" s="1"/>
  <c r="I92" i="26" s="1"/>
  <c r="P67" i="26"/>
  <c r="F22" i="26"/>
  <c r="J48" i="26"/>
  <c r="K48" i="26" s="1"/>
  <c r="C91" i="26"/>
  <c r="F12" i="26"/>
  <c r="J21" i="26"/>
  <c r="K21" i="26" s="1"/>
  <c r="L70" i="26"/>
  <c r="M16" i="26"/>
  <c r="J22" i="26"/>
  <c r="K22" i="26" s="1"/>
  <c r="O70" i="26"/>
  <c r="B89" i="26"/>
  <c r="B90" i="26"/>
  <c r="B92" i="26"/>
  <c r="F19" i="26"/>
  <c r="F28" i="26"/>
  <c r="E90" i="26" s="1"/>
  <c r="F30" i="26"/>
  <c r="E92" i="26" s="1"/>
  <c r="M34" i="26"/>
  <c r="F36" i="26"/>
  <c r="F91" i="26" s="1"/>
  <c r="F39" i="26"/>
  <c r="G87" i="26" s="1"/>
  <c r="F44" i="26"/>
  <c r="G92" i="26" s="1"/>
  <c r="F47" i="26"/>
  <c r="H88" i="26" s="1"/>
  <c r="I88" i="26" s="1"/>
  <c r="M51" i="26"/>
  <c r="F13" i="26"/>
  <c r="F16" i="26"/>
  <c r="K19" i="26"/>
  <c r="F21" i="26"/>
  <c r="F27" i="26"/>
  <c r="E89" i="26" s="1"/>
  <c r="M36" i="26"/>
  <c r="K44" i="26"/>
  <c r="J50" i="26"/>
  <c r="K50" i="26" s="1"/>
  <c r="B11" i="26"/>
  <c r="J28" i="26"/>
  <c r="K28" i="26" s="1"/>
  <c r="J36" i="26"/>
  <c r="K36" i="26" s="1"/>
  <c r="J40" i="26"/>
  <c r="K40" i="26" s="1"/>
  <c r="M28" i="26"/>
  <c r="M40" i="26"/>
  <c r="K66" i="24"/>
  <c r="K67" i="24"/>
  <c r="K68" i="24"/>
  <c r="K69" i="24"/>
  <c r="K70" i="24"/>
  <c r="K65" i="24"/>
  <c r="A51" i="24"/>
  <c r="A50" i="24"/>
  <c r="A49" i="24"/>
  <c r="A48" i="24"/>
  <c r="A47" i="24"/>
  <c r="A46" i="24"/>
  <c r="A44" i="24"/>
  <c r="A43" i="24"/>
  <c r="A42" i="24"/>
  <c r="A41" i="24"/>
  <c r="A40" i="24"/>
  <c r="A39" i="24"/>
  <c r="A37" i="24"/>
  <c r="A36" i="24"/>
  <c r="A35" i="24"/>
  <c r="A34" i="24"/>
  <c r="A33" i="24"/>
  <c r="A32" i="24"/>
  <c r="A30" i="24"/>
  <c r="A29" i="24"/>
  <c r="A28" i="24"/>
  <c r="A27" i="24"/>
  <c r="A26" i="24"/>
  <c r="A25" i="24"/>
  <c r="A19" i="24"/>
  <c r="A20" i="24"/>
  <c r="A21" i="24"/>
  <c r="A22" i="24"/>
  <c r="A23" i="24"/>
  <c r="A18" i="24"/>
  <c r="E18" i="24"/>
  <c r="A12" i="24"/>
  <c r="A13" i="24"/>
  <c r="A14" i="24"/>
  <c r="A15" i="24"/>
  <c r="A16" i="24"/>
  <c r="A11" i="24"/>
  <c r="B47" i="24"/>
  <c r="B48" i="24"/>
  <c r="B49" i="24"/>
  <c r="B50" i="24"/>
  <c r="B51" i="24"/>
  <c r="B46" i="24"/>
  <c r="H86" i="24" s="1"/>
  <c r="I86" i="24" s="1"/>
  <c r="B44" i="24"/>
  <c r="B34" i="24"/>
  <c r="B35" i="24"/>
  <c r="B13" i="24"/>
  <c r="B14" i="24"/>
  <c r="B15" i="24"/>
  <c r="B16" i="24"/>
  <c r="B11" i="24"/>
  <c r="L64" i="24" s="1"/>
  <c r="P7" i="24"/>
  <c r="B40" i="24" s="1"/>
  <c r="P6" i="24"/>
  <c r="B36" i="24" s="1"/>
  <c r="P5" i="24"/>
  <c r="B26" i="24" s="1"/>
  <c r="P4" i="24"/>
  <c r="B18" i="24" s="1"/>
  <c r="P3" i="24"/>
  <c r="B12" i="24" s="1"/>
  <c r="I51" i="24"/>
  <c r="E51" i="24"/>
  <c r="AA50" i="24"/>
  <c r="I50" i="24"/>
  <c r="E50" i="24"/>
  <c r="AA49" i="24"/>
  <c r="I49" i="24"/>
  <c r="M49" i="24" s="1"/>
  <c r="E49" i="24"/>
  <c r="AA48" i="24"/>
  <c r="I48" i="24"/>
  <c r="E48" i="24"/>
  <c r="AA47" i="24"/>
  <c r="I47" i="24"/>
  <c r="M47" i="24" s="1"/>
  <c r="E47" i="24"/>
  <c r="I46" i="24"/>
  <c r="E46" i="24"/>
  <c r="I44" i="24"/>
  <c r="J44" i="24" s="1"/>
  <c r="E44" i="24"/>
  <c r="AA43" i="24"/>
  <c r="I43" i="24"/>
  <c r="P69" i="24" s="1"/>
  <c r="E43" i="24"/>
  <c r="AA42" i="24"/>
  <c r="I42" i="24"/>
  <c r="E42" i="24"/>
  <c r="AA41" i="24"/>
  <c r="I41" i="24"/>
  <c r="P67" i="24" s="1"/>
  <c r="E41" i="24"/>
  <c r="AA40" i="24"/>
  <c r="I40" i="24"/>
  <c r="E40" i="24"/>
  <c r="F40" i="24" s="1"/>
  <c r="G88" i="24" s="1"/>
  <c r="I39" i="24"/>
  <c r="P65" i="24" s="1"/>
  <c r="E39" i="24"/>
  <c r="I37" i="24"/>
  <c r="J37" i="24" s="1"/>
  <c r="E37" i="24"/>
  <c r="AA36" i="24"/>
  <c r="I36" i="24"/>
  <c r="J36" i="24" s="1"/>
  <c r="E36" i="24"/>
  <c r="AA35" i="24"/>
  <c r="I35" i="24"/>
  <c r="O68" i="24" s="1"/>
  <c r="E35" i="24"/>
  <c r="AA34" i="24"/>
  <c r="I34" i="24"/>
  <c r="O67" i="24" s="1"/>
  <c r="E34" i="24"/>
  <c r="AA33" i="24"/>
  <c r="I33" i="24"/>
  <c r="M35" i="24" s="1"/>
  <c r="E33" i="24"/>
  <c r="F33" i="24" s="1"/>
  <c r="F88" i="24" s="1"/>
  <c r="I32" i="24"/>
  <c r="O65" i="24" s="1"/>
  <c r="E32" i="24"/>
  <c r="I30" i="24"/>
  <c r="N70" i="24" s="1"/>
  <c r="E30" i="24"/>
  <c r="AA29" i="24"/>
  <c r="I29" i="24"/>
  <c r="N69" i="24" s="1"/>
  <c r="E29" i="24"/>
  <c r="AA28" i="24"/>
  <c r="I28" i="24"/>
  <c r="J28" i="24" s="1"/>
  <c r="E28" i="24"/>
  <c r="AA27" i="24"/>
  <c r="I27" i="24"/>
  <c r="N67" i="24" s="1"/>
  <c r="E27" i="24"/>
  <c r="AA26" i="24"/>
  <c r="I26" i="24"/>
  <c r="N66" i="24" s="1"/>
  <c r="E26" i="24"/>
  <c r="I25" i="24"/>
  <c r="N65" i="24" s="1"/>
  <c r="E25" i="24"/>
  <c r="I23" i="24"/>
  <c r="E23" i="24"/>
  <c r="AA22" i="24"/>
  <c r="I22" i="24"/>
  <c r="E22" i="24"/>
  <c r="D91" i="24" s="1"/>
  <c r="AA21" i="24"/>
  <c r="I21" i="24"/>
  <c r="J21" i="24" s="1"/>
  <c r="E21" i="24"/>
  <c r="D90" i="24" s="1"/>
  <c r="AA20" i="24"/>
  <c r="I20" i="24"/>
  <c r="E20" i="24"/>
  <c r="D89" i="24" s="1"/>
  <c r="AA19" i="24"/>
  <c r="I19" i="24"/>
  <c r="E19" i="24"/>
  <c r="D88" i="24" s="1"/>
  <c r="I18" i="24"/>
  <c r="I16" i="24"/>
  <c r="J16" i="24" s="1"/>
  <c r="E16" i="24"/>
  <c r="AA15" i="24"/>
  <c r="I15" i="24"/>
  <c r="E15" i="24"/>
  <c r="AA14" i="24"/>
  <c r="I14" i="24"/>
  <c r="E14" i="24"/>
  <c r="C90" i="24" s="1"/>
  <c r="AA13" i="24"/>
  <c r="I13" i="24"/>
  <c r="E13" i="24"/>
  <c r="C89" i="24" s="1"/>
  <c r="AA12" i="24"/>
  <c r="I12" i="24"/>
  <c r="E12" i="24"/>
  <c r="C88" i="24" s="1"/>
  <c r="I11" i="24"/>
  <c r="E11" i="24"/>
  <c r="AA10" i="24"/>
  <c r="AA9" i="24"/>
  <c r="I18" i="5"/>
  <c r="L64" i="26" l="1"/>
  <c r="C86" i="26"/>
  <c r="J27" i="24"/>
  <c r="M21" i="24"/>
  <c r="M64" i="24"/>
  <c r="D86" i="24"/>
  <c r="B19" i="24"/>
  <c r="B33" i="24"/>
  <c r="F23" i="24"/>
  <c r="B25" i="24"/>
  <c r="B39" i="24"/>
  <c r="B21" i="24"/>
  <c r="B30" i="24"/>
  <c r="B29" i="24"/>
  <c r="B43" i="24"/>
  <c r="J23" i="24"/>
  <c r="K23" i="24" s="1"/>
  <c r="B28" i="24"/>
  <c r="B42" i="24"/>
  <c r="J46" i="24"/>
  <c r="K46" i="24" s="1"/>
  <c r="B27" i="24"/>
  <c r="B41" i="24"/>
  <c r="B20" i="24"/>
  <c r="J51" i="24"/>
  <c r="B32" i="24"/>
  <c r="B23" i="24"/>
  <c r="B37" i="24"/>
  <c r="F18" i="24"/>
  <c r="B22" i="24"/>
  <c r="M16" i="24"/>
  <c r="J35" i="24"/>
  <c r="M34" i="24"/>
  <c r="P70" i="24"/>
  <c r="M42" i="24"/>
  <c r="K28" i="24"/>
  <c r="D92" i="24"/>
  <c r="K36" i="24"/>
  <c r="K44" i="24"/>
  <c r="K51" i="24"/>
  <c r="J26" i="24"/>
  <c r="K26" i="24" s="1"/>
  <c r="M37" i="24"/>
  <c r="M26" i="24"/>
  <c r="M30" i="24"/>
  <c r="J43" i="24"/>
  <c r="K43" i="24" s="1"/>
  <c r="M48" i="24"/>
  <c r="M43" i="24"/>
  <c r="M44" i="24"/>
  <c r="J42" i="24"/>
  <c r="K42" i="24" s="1"/>
  <c r="O69" i="24"/>
  <c r="M36" i="24"/>
  <c r="J33" i="24"/>
  <c r="K33" i="24" s="1"/>
  <c r="M14" i="24"/>
  <c r="J25" i="24"/>
  <c r="K25" i="24" s="1"/>
  <c r="M33" i="24"/>
  <c r="M50" i="24"/>
  <c r="K21" i="24"/>
  <c r="K37" i="24"/>
  <c r="K35" i="24"/>
  <c r="K16" i="24"/>
  <c r="K27" i="24"/>
  <c r="Q64" i="24"/>
  <c r="F15" i="24"/>
  <c r="F42" i="24"/>
  <c r="G90" i="24" s="1"/>
  <c r="F46" i="24"/>
  <c r="H87" i="24" s="1"/>
  <c r="I87" i="24" s="1"/>
  <c r="F49" i="24"/>
  <c r="H90" i="24" s="1"/>
  <c r="I90" i="24" s="1"/>
  <c r="B89" i="24"/>
  <c r="F28" i="24"/>
  <c r="E90" i="24" s="1"/>
  <c r="F36" i="24"/>
  <c r="F91" i="24" s="1"/>
  <c r="F29" i="24"/>
  <c r="E91" i="24" s="1"/>
  <c r="F44" i="24"/>
  <c r="G92" i="24" s="1"/>
  <c r="B90" i="24"/>
  <c r="F27" i="24"/>
  <c r="E89" i="24" s="1"/>
  <c r="F37" i="24"/>
  <c r="F92" i="24" s="1"/>
  <c r="F47" i="24"/>
  <c r="H88" i="24" s="1"/>
  <c r="I88" i="24" s="1"/>
  <c r="B91" i="24"/>
  <c r="B87" i="24"/>
  <c r="B92" i="24"/>
  <c r="B88" i="24"/>
  <c r="F35" i="24"/>
  <c r="F90" i="24" s="1"/>
  <c r="F19" i="24"/>
  <c r="F25" i="24"/>
  <c r="E87" i="24" s="1"/>
  <c r="F41" i="24"/>
  <c r="G89" i="24" s="1"/>
  <c r="F26" i="24"/>
  <c r="E88" i="24" s="1"/>
  <c r="F11" i="24"/>
  <c r="C87" i="24" s="1"/>
  <c r="F34" i="24"/>
  <c r="F89" i="24" s="1"/>
  <c r="F50" i="24"/>
  <c r="H91" i="24" s="1"/>
  <c r="I91" i="24" s="1"/>
  <c r="F16" i="24"/>
  <c r="F30" i="24"/>
  <c r="E92" i="24" s="1"/>
  <c r="F51" i="24"/>
  <c r="H92" i="24" s="1"/>
  <c r="I92" i="24" s="1"/>
  <c r="D87" i="24"/>
  <c r="F32" i="24"/>
  <c r="F87" i="24" s="1"/>
  <c r="F39" i="24"/>
  <c r="G87" i="24" s="1"/>
  <c r="F43" i="24"/>
  <c r="G91" i="24" s="1"/>
  <c r="F48" i="24"/>
  <c r="H89" i="24" s="1"/>
  <c r="I89" i="24" s="1"/>
  <c r="J11" i="24"/>
  <c r="K11" i="24" s="1"/>
  <c r="J13" i="24"/>
  <c r="K13" i="24" s="1"/>
  <c r="M13" i="24"/>
  <c r="J15" i="24"/>
  <c r="K15" i="24" s="1"/>
  <c r="M23" i="24"/>
  <c r="M41" i="24"/>
  <c r="M51" i="24"/>
  <c r="Q65" i="24"/>
  <c r="Q67" i="24"/>
  <c r="Q69" i="24"/>
  <c r="F12" i="24"/>
  <c r="J18" i="24"/>
  <c r="K18" i="24" s="1"/>
  <c r="J20" i="24"/>
  <c r="K20" i="24" s="1"/>
  <c r="F22" i="24"/>
  <c r="M28" i="24"/>
  <c r="J30" i="24"/>
  <c r="K30" i="24" s="1"/>
  <c r="J48" i="24"/>
  <c r="K48" i="24" s="1"/>
  <c r="C92" i="24"/>
  <c r="J12" i="24"/>
  <c r="K12" i="24" s="1"/>
  <c r="F14" i="24"/>
  <c r="M20" i="24"/>
  <c r="J22" i="24"/>
  <c r="K22" i="24" s="1"/>
  <c r="J40" i="24"/>
  <c r="K40" i="24" s="1"/>
  <c r="J50" i="24"/>
  <c r="K50" i="24" s="1"/>
  <c r="N68" i="24"/>
  <c r="O66" i="24"/>
  <c r="O70" i="24"/>
  <c r="C91" i="24"/>
  <c r="P66" i="24"/>
  <c r="P68" i="24"/>
  <c r="M12" i="24"/>
  <c r="J19" i="24"/>
  <c r="K19" i="24" s="1"/>
  <c r="M27" i="24"/>
  <c r="J29" i="24"/>
  <c r="K29" i="24" s="1"/>
  <c r="J47" i="24"/>
  <c r="K47" i="24" s="1"/>
  <c r="Q66" i="24"/>
  <c r="Q68" i="24"/>
  <c r="Q70" i="24"/>
  <c r="M15" i="24"/>
  <c r="J14" i="24"/>
  <c r="K14" i="24" s="1"/>
  <c r="M22" i="24"/>
  <c r="M40" i="24"/>
  <c r="F21" i="24"/>
  <c r="J32" i="24"/>
  <c r="K32" i="24" s="1"/>
  <c r="J34" i="24"/>
  <c r="K34" i="24" s="1"/>
  <c r="F13" i="24"/>
  <c r="M19" i="24"/>
  <c r="M29" i="24"/>
  <c r="J49" i="24"/>
  <c r="K49" i="24" s="1"/>
  <c r="J39" i="24"/>
  <c r="K39" i="24" s="1"/>
  <c r="J41" i="24"/>
  <c r="K41" i="24" s="1"/>
  <c r="F20" i="24"/>
  <c r="F86" i="24" l="1"/>
  <c r="O64" i="24"/>
  <c r="G86" i="24"/>
  <c r="P64" i="24"/>
  <c r="N64" i="24"/>
  <c r="E86" i="24"/>
  <c r="I39" i="5"/>
  <c r="S19" i="5"/>
  <c r="S20" i="5" l="1"/>
  <c r="S21" i="5"/>
  <c r="S22" i="5" l="1"/>
  <c r="G43" i="5" s="1"/>
  <c r="M27" i="12" l="1"/>
  <c r="M28" i="12"/>
  <c r="M29" i="12"/>
  <c r="M30" i="12"/>
  <c r="M26" i="12"/>
  <c r="Q86" i="5" l="1"/>
  <c r="C1" i="12"/>
  <c r="C2" i="12"/>
  <c r="Q15" i="5"/>
  <c r="R31" i="5"/>
  <c r="P12" i="5" s="1"/>
  <c r="Q84" i="5"/>
  <c r="V15" i="5" l="1"/>
  <c r="Y15" i="5"/>
  <c r="W15" i="5"/>
  <c r="T15" i="5"/>
  <c r="U15" i="5" s="1"/>
  <c r="B79" i="33"/>
  <c r="K73" i="33" s="1"/>
  <c r="B79" i="36"/>
  <c r="K73" i="36" s="1"/>
  <c r="L73" i="36" s="1"/>
  <c r="B82" i="36" s="1"/>
  <c r="B83" i="36" s="1"/>
  <c r="B79" i="37"/>
  <c r="K73" i="37" s="1"/>
  <c r="L73" i="37" s="1"/>
  <c r="B82" i="37" s="1"/>
  <c r="B83" i="37" s="1"/>
  <c r="B79" i="35"/>
  <c r="K73" i="35" s="1"/>
  <c r="L73" i="35" s="1"/>
  <c r="B82" i="35" s="1"/>
  <c r="B83" i="35" s="1"/>
  <c r="B79" i="28"/>
  <c r="K73" i="28" s="1"/>
  <c r="B79" i="30"/>
  <c r="K73" i="30" s="1"/>
  <c r="B79" i="31"/>
  <c r="K73" i="31" s="1"/>
  <c r="B79" i="24"/>
  <c r="K73" i="24" s="1"/>
  <c r="B79" i="26"/>
  <c r="K73" i="26" s="1"/>
  <c r="G29" i="5"/>
  <c r="G49" i="5"/>
  <c r="R48" i="5" s="1"/>
  <c r="B95" i="35" l="1"/>
  <c r="J88" i="35" s="1"/>
  <c r="E17" i="12"/>
  <c r="E18" i="12" s="1"/>
  <c r="B95" i="37"/>
  <c r="J92" i="37" s="1"/>
  <c r="E21" i="12"/>
  <c r="J89" i="37"/>
  <c r="J91" i="37"/>
  <c r="J87" i="37"/>
  <c r="J88" i="37"/>
  <c r="B95" i="36"/>
  <c r="E19" i="12"/>
  <c r="Q88" i="5"/>
  <c r="R28" i="5"/>
  <c r="T33" i="5" s="1"/>
  <c r="J89" i="35" l="1"/>
  <c r="J90" i="37"/>
  <c r="B97" i="37" s="1"/>
  <c r="F21" i="12" s="1"/>
  <c r="J92" i="35"/>
  <c r="J91" i="35"/>
  <c r="J90" i="35"/>
  <c r="J87" i="35"/>
  <c r="E20" i="12"/>
  <c r="J89" i="36"/>
  <c r="J91" i="36"/>
  <c r="J87" i="36"/>
  <c r="J88" i="36"/>
  <c r="J92" i="36"/>
  <c r="J90" i="36"/>
  <c r="B39" i="26"/>
  <c r="P64" i="26" s="1"/>
  <c r="G86" i="26"/>
  <c r="B25" i="26"/>
  <c r="E86" i="26" s="1"/>
  <c r="N64" i="26"/>
  <c r="B32" i="26"/>
  <c r="O64" i="26" s="1"/>
  <c r="F86" i="26"/>
  <c r="Q64" i="26"/>
  <c r="B46" i="26"/>
  <c r="H86" i="26" s="1"/>
  <c r="I86" i="26" s="1"/>
  <c r="B43" i="26"/>
  <c r="B42" i="26"/>
  <c r="B40" i="26"/>
  <c r="B41" i="26"/>
  <c r="B44" i="26"/>
  <c r="B34" i="26"/>
  <c r="B37" i="26"/>
  <c r="B35" i="26"/>
  <c r="B33" i="26"/>
  <c r="B36" i="26"/>
  <c r="P4" i="26"/>
  <c r="B23" i="26" s="1"/>
  <c r="B27" i="26"/>
  <c r="B26" i="26"/>
  <c r="B30" i="26"/>
  <c r="B28" i="26"/>
  <c r="B29" i="26"/>
  <c r="B47" i="26"/>
  <c r="B49" i="26"/>
  <c r="B50" i="26"/>
  <c r="B51" i="26"/>
  <c r="B48" i="26"/>
  <c r="B97" i="35" l="1"/>
  <c r="F17" i="12" s="1"/>
  <c r="F18" i="12" s="1"/>
  <c r="B97" i="36"/>
  <c r="F19" i="12" s="1"/>
  <c r="F20" i="12" s="1"/>
  <c r="B20" i="26"/>
  <c r="B19" i="26"/>
  <c r="B21" i="26"/>
  <c r="B22" i="26"/>
  <c r="B18" i="26"/>
  <c r="D86" i="26" l="1"/>
  <c r="M64" i="26"/>
  <c r="Z30" i="5"/>
  <c r="Z31" i="5" s="1"/>
  <c r="J10" i="12"/>
  <c r="B80" i="24"/>
  <c r="K72" i="24" s="1"/>
  <c r="B80" i="26"/>
  <c r="N72" i="26" s="1"/>
  <c r="M32" i="12"/>
  <c r="L32" i="12" s="1"/>
  <c r="B80" i="31"/>
  <c r="Q72" i="31" s="1"/>
  <c r="B80" i="30"/>
  <c r="P72" i="30" s="1"/>
  <c r="B80" i="28"/>
  <c r="B96" i="28" s="1"/>
  <c r="B80" i="33"/>
  <c r="G32" i="5"/>
  <c r="J13" i="12"/>
  <c r="J14" i="12"/>
  <c r="J15" i="12"/>
  <c r="J11" i="12"/>
  <c r="J16" i="12"/>
  <c r="J12" i="12"/>
  <c r="J9" i="12"/>
  <c r="J3" i="12"/>
  <c r="J4" i="12"/>
  <c r="X15" i="5" l="1"/>
  <c r="K72" i="31"/>
  <c r="L72" i="30"/>
  <c r="L72" i="26"/>
  <c r="K72" i="26"/>
  <c r="P72" i="26"/>
  <c r="O72" i="26"/>
  <c r="K72" i="30"/>
  <c r="Q72" i="30"/>
  <c r="B96" i="30"/>
  <c r="K72" i="28"/>
  <c r="O72" i="28"/>
  <c r="O72" i="30"/>
  <c r="N72" i="28"/>
  <c r="N72" i="30"/>
  <c r="M72" i="30"/>
  <c r="L72" i="31"/>
  <c r="M72" i="26"/>
  <c r="Q72" i="24"/>
  <c r="N72" i="24"/>
  <c r="L72" i="24"/>
  <c r="O72" i="33"/>
  <c r="O72" i="24"/>
  <c r="P72" i="24"/>
  <c r="O72" i="31"/>
  <c r="P72" i="31"/>
  <c r="M72" i="24"/>
  <c r="P72" i="33"/>
  <c r="M72" i="33"/>
  <c r="P72" i="28"/>
  <c r="N72" i="31"/>
  <c r="B96" i="31"/>
  <c r="B96" i="33"/>
  <c r="Q72" i="28"/>
  <c r="Q72" i="33"/>
  <c r="B96" i="26"/>
  <c r="K72" i="33"/>
  <c r="N72" i="33"/>
  <c r="M72" i="31"/>
  <c r="M72" i="28"/>
  <c r="B96" i="24"/>
  <c r="L72" i="33"/>
  <c r="Q72" i="26"/>
  <c r="L72" i="28"/>
  <c r="G31" i="5" l="1"/>
  <c r="P31" i="5"/>
  <c r="G39" i="5" s="1"/>
  <c r="G40" i="5" s="1"/>
  <c r="L73" i="30"/>
  <c r="B82" i="30" s="1"/>
  <c r="B83" i="30" s="1"/>
  <c r="E12" i="12" s="1"/>
  <c r="L73" i="28"/>
  <c r="B82" i="28" s="1"/>
  <c r="B83" i="28" s="1"/>
  <c r="B95" i="28" s="1"/>
  <c r="L73" i="26"/>
  <c r="B82" i="26" s="1"/>
  <c r="E4" i="12" s="1"/>
  <c r="L73" i="33"/>
  <c r="B82" i="33" s="1"/>
  <c r="B83" i="33" s="1"/>
  <c r="L73" i="24"/>
  <c r="B82" i="24" s="1"/>
  <c r="B83" i="24" s="1"/>
  <c r="L73" i="31"/>
  <c r="B82" i="31" s="1"/>
  <c r="B83" i="31" s="1"/>
  <c r="E10" i="12" l="1"/>
  <c r="E8" i="12"/>
  <c r="E6" i="12" s="1"/>
  <c r="B95" i="30"/>
  <c r="E15" i="12"/>
  <c r="E13" i="12" s="1"/>
  <c r="B83" i="26"/>
  <c r="B95" i="26" s="1"/>
  <c r="J89" i="26" s="1"/>
  <c r="B95" i="31"/>
  <c r="E11" i="12"/>
  <c r="E9" i="12" s="1"/>
  <c r="E7" i="12"/>
  <c r="E5" i="12" s="1"/>
  <c r="B95" i="33"/>
  <c r="E16" i="12"/>
  <c r="E14" i="12" s="1"/>
  <c r="E3" i="12"/>
  <c r="B95" i="24"/>
  <c r="J88" i="28"/>
  <c r="J91" i="28"/>
  <c r="J89" i="28"/>
  <c r="J87" i="28"/>
  <c r="J90" i="28"/>
  <c r="J92" i="28"/>
  <c r="R15" i="5" l="1"/>
  <c r="G38" i="5" s="1"/>
  <c r="J88" i="26"/>
  <c r="J92" i="26"/>
  <c r="J87" i="26"/>
  <c r="J90" i="26"/>
  <c r="J91" i="26"/>
  <c r="J87" i="30"/>
  <c r="J90" i="30"/>
  <c r="J88" i="30"/>
  <c r="J92" i="30"/>
  <c r="J91" i="30"/>
  <c r="J89" i="30"/>
  <c r="B97" i="28"/>
  <c r="F15" i="12" s="1"/>
  <c r="F13" i="12" s="1"/>
  <c r="J89" i="33"/>
  <c r="J88" i="33"/>
  <c r="J92" i="33"/>
  <c r="J87" i="33"/>
  <c r="J91" i="33"/>
  <c r="J90" i="33"/>
  <c r="J88" i="24"/>
  <c r="J91" i="24"/>
  <c r="J90" i="24"/>
  <c r="J89" i="24"/>
  <c r="J92" i="24"/>
  <c r="J87" i="24"/>
  <c r="J92" i="31"/>
  <c r="J90" i="31"/>
  <c r="J87" i="31"/>
  <c r="J88" i="31"/>
  <c r="J89" i="31"/>
  <c r="J91" i="31"/>
  <c r="B97" i="26" l="1"/>
  <c r="F4" i="12" s="1"/>
  <c r="B97" i="30"/>
  <c r="F12" i="12" s="1"/>
  <c r="F10" i="12" s="1"/>
  <c r="B97" i="33"/>
  <c r="F16" i="12" s="1"/>
  <c r="F14" i="12" s="1"/>
  <c r="B97" i="24"/>
  <c r="F3" i="12" s="1"/>
  <c r="B97" i="31"/>
  <c r="F11" i="12" s="1"/>
  <c r="F9" i="12" s="1"/>
  <c r="S15" i="5" l="1"/>
  <c r="G42" i="5" s="1"/>
  <c r="G44" i="5" s="1"/>
  <c r="G45" i="5" s="1"/>
  <c r="F8" i="12"/>
  <c r="F6" i="12" s="1"/>
  <c r="F7" i="12"/>
  <c r="F5" i="12" s="1"/>
  <c r="R43" i="5"/>
  <c r="Q89" i="5" l="1"/>
  <c r="G28" i="5" s="1"/>
  <c r="G46" i="5"/>
  <c r="G25" i="5" s="1"/>
  <c r="G26" i="5" s="1"/>
  <c r="Z34" i="5"/>
  <c r="Z35" i="5" s="1"/>
  <c r="G20" i="5" l="1"/>
  <c r="R44" i="5"/>
  <c r="R45" i="5" s="1"/>
  <c r="G50" i="5"/>
  <c r="G30" i="5"/>
  <c r="G2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Hailey Meek</author>
  </authors>
  <commentList>
    <comment ref="G26" authorId="0" shapeId="0" xr:uid="{00000000-0006-0000-0100-000001000000}">
      <text>
        <r>
          <rPr>
            <b/>
            <sz val="9"/>
            <color indexed="81"/>
            <rFont val="Tahoma"/>
            <family val="2"/>
          </rPr>
          <t>Hailey Meek:</t>
        </r>
        <r>
          <rPr>
            <sz val="9"/>
            <color indexed="81"/>
            <rFont val="Tahoma"/>
            <family val="2"/>
          </rPr>
          <t xml:space="preserve">
12.5 G/day
47 L/day</t>
        </r>
      </text>
    </comment>
    <comment ref="H26" authorId="0" shapeId="0" xr:uid="{00000000-0006-0000-0100-000002000000}">
      <text>
        <r>
          <rPr>
            <b/>
            <sz val="9"/>
            <color indexed="81"/>
            <rFont val="Tahoma"/>
            <family val="2"/>
          </rPr>
          <t>Hailey Meek:</t>
        </r>
        <r>
          <rPr>
            <sz val="9"/>
            <color indexed="81"/>
            <rFont val="Tahoma"/>
            <family val="2"/>
          </rPr>
          <t xml:space="preserve">
25 G/day
95 L/day</t>
        </r>
      </text>
    </comment>
    <comment ref="I26" authorId="0" shapeId="0" xr:uid="{00000000-0006-0000-0100-000003000000}">
      <text>
        <r>
          <rPr>
            <b/>
            <sz val="9"/>
            <color indexed="81"/>
            <rFont val="Tahoma"/>
            <family val="2"/>
          </rPr>
          <t>Hailey Meek:</t>
        </r>
        <r>
          <rPr>
            <sz val="9"/>
            <color indexed="81"/>
            <rFont val="Tahoma"/>
            <family val="2"/>
          </rPr>
          <t xml:space="preserve">
12.5 G/day
47 L/day</t>
        </r>
      </text>
    </comment>
    <comment ref="J26" authorId="0" shapeId="0" xr:uid="{00000000-0006-0000-0100-000004000000}">
      <text>
        <r>
          <rPr>
            <b/>
            <sz val="9"/>
            <color indexed="81"/>
            <rFont val="Tahoma"/>
            <family val="2"/>
          </rPr>
          <t>Hailey Meek:</t>
        </r>
        <r>
          <rPr>
            <sz val="9"/>
            <color indexed="81"/>
            <rFont val="Tahoma"/>
            <family val="2"/>
          </rPr>
          <t xml:space="preserve">
25 G/day
95 L/day</t>
        </r>
      </text>
    </comment>
    <comment ref="G28" authorId="0" shapeId="0" xr:uid="{00000000-0006-0000-0100-000005000000}">
      <text>
        <r>
          <rPr>
            <b/>
            <sz val="9"/>
            <color indexed="81"/>
            <rFont val="Tahoma"/>
            <family val="2"/>
          </rPr>
          <t>Hailey Meek:</t>
        </r>
        <r>
          <rPr>
            <sz val="9"/>
            <color indexed="81"/>
            <rFont val="Tahoma"/>
            <family val="2"/>
          </rPr>
          <t xml:space="preserve">
45 G/day
170 L/day</t>
        </r>
      </text>
    </comment>
    <comment ref="H28" authorId="0" shapeId="0" xr:uid="{00000000-0006-0000-0100-000006000000}">
      <text>
        <r>
          <rPr>
            <b/>
            <sz val="9"/>
            <color indexed="81"/>
            <rFont val="Tahoma"/>
            <family val="2"/>
          </rPr>
          <t>Hailey Meek:</t>
        </r>
        <r>
          <rPr>
            <sz val="9"/>
            <color indexed="81"/>
            <rFont val="Tahoma"/>
            <family val="2"/>
          </rPr>
          <t xml:space="preserve">
90 G/day
341 L/day</t>
        </r>
      </text>
    </comment>
    <comment ref="I28" authorId="0" shapeId="0" xr:uid="{00000000-0006-0000-0100-000007000000}">
      <text>
        <r>
          <rPr>
            <b/>
            <sz val="9"/>
            <color indexed="81"/>
            <rFont val="Tahoma"/>
            <family val="2"/>
          </rPr>
          <t>Hailey Meek:</t>
        </r>
        <r>
          <rPr>
            <sz val="9"/>
            <color indexed="81"/>
            <rFont val="Tahoma"/>
            <family val="2"/>
          </rPr>
          <t xml:space="preserve">
22.5 G/day
85 L/day</t>
        </r>
      </text>
    </comment>
    <comment ref="J28" authorId="0" shapeId="0" xr:uid="{00000000-0006-0000-0100-000008000000}">
      <text>
        <r>
          <rPr>
            <b/>
            <sz val="9"/>
            <color indexed="81"/>
            <rFont val="Tahoma"/>
            <family val="2"/>
          </rPr>
          <t>Hailey Meek:</t>
        </r>
        <r>
          <rPr>
            <sz val="9"/>
            <color indexed="81"/>
            <rFont val="Tahoma"/>
            <family val="2"/>
          </rPr>
          <t xml:space="preserve">
45 G/day
170 L/day</t>
        </r>
      </text>
    </comment>
    <comment ref="G30" authorId="0" shapeId="0" xr:uid="{00000000-0006-0000-0100-000009000000}">
      <text>
        <r>
          <rPr>
            <b/>
            <sz val="9"/>
            <color indexed="81"/>
            <rFont val="Tahoma"/>
            <family val="2"/>
          </rPr>
          <t>Hailey Meek:</t>
        </r>
        <r>
          <rPr>
            <sz val="9"/>
            <color indexed="81"/>
            <rFont val="Tahoma"/>
            <family val="2"/>
          </rPr>
          <t xml:space="preserve">
30 G/day
114 L/day</t>
        </r>
      </text>
    </comment>
    <comment ref="H30" authorId="0" shapeId="0" xr:uid="{00000000-0006-0000-0100-00000A000000}">
      <text>
        <r>
          <rPr>
            <b/>
            <sz val="9"/>
            <color indexed="81"/>
            <rFont val="Tahoma"/>
            <family val="2"/>
          </rPr>
          <t>Hailey Meek:</t>
        </r>
        <r>
          <rPr>
            <sz val="9"/>
            <color indexed="81"/>
            <rFont val="Tahoma"/>
            <family val="2"/>
          </rPr>
          <t xml:space="preserve">
60 G/day
227 L/day</t>
        </r>
      </text>
    </comment>
    <comment ref="I30" authorId="0" shapeId="0" xr:uid="{00000000-0006-0000-0100-00000B000000}">
      <text>
        <r>
          <rPr>
            <b/>
            <sz val="9"/>
            <color indexed="81"/>
            <rFont val="Tahoma"/>
            <family val="2"/>
          </rPr>
          <t>Hailey Meek:</t>
        </r>
        <r>
          <rPr>
            <sz val="9"/>
            <color indexed="81"/>
            <rFont val="Tahoma"/>
            <family val="2"/>
          </rPr>
          <t xml:space="preserve">
15 G/day
57 L/day</t>
        </r>
      </text>
    </comment>
    <comment ref="J30" authorId="0" shapeId="0" xr:uid="{00000000-0006-0000-0100-00000C000000}">
      <text>
        <r>
          <rPr>
            <b/>
            <sz val="9"/>
            <color indexed="81"/>
            <rFont val="Tahoma"/>
            <family val="2"/>
          </rPr>
          <t>Hailey Meek:</t>
        </r>
        <r>
          <rPr>
            <sz val="9"/>
            <color indexed="81"/>
            <rFont val="Tahoma"/>
            <family val="2"/>
          </rPr>
          <t xml:space="preserve">
30 G/day
114 L/day</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tc={AC5B2F9C-3619-4615-800A-57F8E6036FB7}</author>
  </authors>
  <commentList>
    <comment ref="B83" authorId="0" shapeId="0" xr:uid="{AC5B2F9C-3619-4615-800A-57F8E6036FB7}">
      <text>
        <t>[Threaded comment]
Your version of Excel allows you to read this threaded comment; however, any edits to it will get removed if the file is opened in a newer version of Excel. Learn more: https://go.microsoft.com/fwlink/?linkid=870924
Comment:
    @Kirby Jabusch you've got a 'pressure corrected RPM value here calculation baked in to this spreadsheet, however based on how we pulled this data, I believe that we can leave this correction value at '0'</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tc={17A2133C-D501-4492-9F54-4C05342249A4}</author>
  </authors>
  <commentList>
    <comment ref="B83" authorId="0" shapeId="0" xr:uid="{17A2133C-D501-4492-9F54-4C05342249A4}">
      <text>
        <t>[Threaded comment]
Your version of Excel allows you to read this threaded comment; however, any edits to it will get removed if the file is opened in a newer version of Excel. Learn more: https://go.microsoft.com/fwlink/?linkid=870924
Comment:
    @Kirby Jabusch you've got a 'pressure corrected RPM value here calculation baked in to this spreadsheet, however based on how we pulled this data, I believe that we can leave this correction value at '0'</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tc={EB997F03-26EB-49EC-9FF3-5B9896F5D892}</author>
  </authors>
  <commentList>
    <comment ref="B83" authorId="0" shapeId="0" xr:uid="{EB997F03-26EB-49EC-9FF3-5B9896F5D892}">
      <text>
        <t>[Threaded comment]
Your version of Excel allows you to read this threaded comment; however, any edits to it will get removed if the file is opened in a newer version of Excel. Learn more: https://go.microsoft.com/fwlink/?linkid=870924
Comment:
    @Kirby Jabusch you've got a 'pressure corrected RPM value here calculation baked in to this spreadsheet, however based on how we pulled this data, I believe that we can leave this correction value at '0'</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tc={94504365-9653-4172-AB8F-24FC2B6B5267}</author>
  </authors>
  <commentList>
    <comment ref="B83" authorId="0" shapeId="0" xr:uid="{94504365-9653-4172-AB8F-24FC2B6B5267}">
      <text>
        <t>[Threaded comment]
Your version of Excel allows you to read this threaded comment; however, any edits to it will get removed if the file is opened in a newer version of Excel. Learn more: https://go.microsoft.com/fwlink/?linkid=870924
Comment:
    @Kirby Jabusch you've got a 'pressure corrected RPM value here calculation baked in to this spreadsheet, however based on how we pulled this data, I believe that we can leave this correction value at '0'</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tc={4BD438D7-C780-4A43-8687-5B577556FCC2}</author>
  </authors>
  <commentList>
    <comment ref="B83" authorId="0" shapeId="0" xr:uid="{4BD438D7-C780-4A43-8687-5B577556FCC2}">
      <text>
        <t>[Threaded comment]
Your version of Excel allows you to read this threaded comment; however, any edits to it will get removed if the file is opened in a newer version of Excel. Learn more: https://go.microsoft.com/fwlink/?linkid=870924
Comment:
    @Kirby Jabusch you've got a 'pressure corrected RPM value here calculation baked in to this spreadsheet, however based on how we pulled this data, I believe that we can leave this correction value at '0'</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tc={B13B4054-B929-41C2-A5E9-CC3C9D06B592}</author>
  </authors>
  <commentList>
    <comment ref="B83" authorId="0" shapeId="0" xr:uid="{B13B4054-B929-41C2-A5E9-CC3C9D06B592}">
      <text>
        <t>[Threaded comment]
Your version of Excel allows you to read this threaded comment; however, any edits to it will get removed if the file is opened in a newer version of Excel. Learn more: https://go.microsoft.com/fwlink/?linkid=870924
Comment:
    @Kirby Jabusch you've got a 'pressure corrected RPM value here calculation baked in to this spreadsheet, however based on how we pulled this data, I believe that we can leave this correction value at '0'</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tc={70142F51-C0B2-46F8-BFFE-40C5CD8DBC06}</author>
  </authors>
  <commentList>
    <comment ref="B83" authorId="0" shapeId="0" xr:uid="{70142F51-C0B2-46F8-BFFE-40C5CD8DBC06}">
      <text>
        <t>[Threaded comment]
Your version of Excel allows you to read this threaded comment; however, any edits to it will get removed if the file is opened in a newer version of Excel. Learn more: https://go.microsoft.com/fwlink/?linkid=870924
Comment:
    @Kirby Jabusch you've got a 'pressure corrected RPM value here calculation baked in to this spreadsheet, however based on how we pulled this data, I believe that we can leave this correction value at '0'</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tc={250F3813-0FBC-42C5-86AE-D3E5D5D87521}</author>
  </authors>
  <commentList>
    <comment ref="B83" authorId="0" shapeId="0" xr:uid="{250F3813-0FBC-42C5-86AE-D3E5D5D87521}">
      <text>
        <t>[Threaded comment]
Your version of Excel allows you to read this threaded comment; however, any edits to it will get removed if the file is opened in a newer version of Excel. Learn more: https://go.microsoft.com/fwlink/?linkid=870924
Comment:
    @Kirby Jabusch you've got a 'pressure corrected RPM value here calculation baked in to this spreadsheet, however based on how we pulled this data, I believe that we can leave this correction value at '0'</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tc={737DA1D9-03A5-4C09-958B-FC88E5CF4BC7}</author>
  </authors>
  <commentList>
    <comment ref="B83" authorId="0" shapeId="0" xr:uid="{737DA1D9-03A5-4C09-958B-FC88E5CF4BC7}">
      <text>
        <t>[Threaded comment]
Your version of Excel allows you to read this threaded comment; however, any edits to it will get removed if the file is opened in a newer version of Excel. Learn more: https://go.microsoft.com/fwlink/?linkid=870924
Comment:
    @Kirby Jabusch you've got a 'pressure corrected RPM value here calculation baked in to this spreadsheet, however based on how we pulled this data, I believe that we can leave this correction value at '0'</t>
      </text>
    </comment>
  </commentList>
</comments>
</file>

<file path=xl/sharedStrings.xml><?xml version="1.0" encoding="utf-8"?>
<sst xmlns="http://schemas.openxmlformats.org/spreadsheetml/2006/main" count="1043" uniqueCount="375">
  <si>
    <t xml:space="preserve">
</t>
  </si>
  <si>
    <t>World map</t>
  </si>
  <si>
    <t>http://worldmap.harvard.edu/maps/oilandgasmap</t>
  </si>
  <si>
    <t>http://solarelectricityhandbook.com/solar-irradiance.html</t>
  </si>
  <si>
    <t>User Inputs - Edit yellow cells</t>
  </si>
  <si>
    <t>US solar data</t>
  </si>
  <si>
    <t>in kWhrs/m2/day</t>
  </si>
  <si>
    <t>http://rredc.nrel.gov/solar/pubs/redbook/</t>
  </si>
  <si>
    <t>kWhrs/kw/month</t>
  </si>
  <si>
    <t>Design Pressure (psi)</t>
  </si>
  <si>
    <t>http://pv.nrcan.gc.ca/index.php?n=720&amp;m=u&amp;lang=e</t>
  </si>
  <si>
    <t>Q - L/day</t>
  </si>
  <si>
    <t>US-Gal/day</t>
  </si>
  <si>
    <t>Interp</t>
  </si>
  <si>
    <t>Rated</t>
  </si>
  <si>
    <t>Select Pump</t>
  </si>
  <si>
    <t>Pump Selected</t>
  </si>
  <si>
    <t>RPM</t>
  </si>
  <si>
    <t>Watts</t>
  </si>
  <si>
    <t>Panel Voltage</t>
  </si>
  <si>
    <t>Pump Voltage</t>
  </si>
  <si>
    <t>maxP</t>
  </si>
  <si>
    <t>max RPM</t>
  </si>
  <si>
    <t>max Flow</t>
  </si>
  <si>
    <t>Multipoint (0-15)</t>
  </si>
  <si>
    <t>L/day</t>
  </si>
  <si>
    <t>InSight - Closed Loop</t>
  </si>
  <si>
    <t>No</t>
  </si>
  <si>
    <t>InSight - Connect</t>
  </si>
  <si>
    <t>Battery Capacity</t>
  </si>
  <si>
    <t>Multipoint ( with Powersavers)</t>
  </si>
  <si>
    <t>Lowest Battery Temp</t>
  </si>
  <si>
    <t>&gt;=0C</t>
  </si>
  <si>
    <t>Insight Closed loop</t>
  </si>
  <si>
    <t>Mean insolation</t>
  </si>
  <si>
    <t>mJ/m2</t>
  </si>
  <si>
    <t>Minimum # of Days Autonomy (7-10 typ.)</t>
  </si>
  <si>
    <t>Insight Connect</t>
  </si>
  <si>
    <t>PV potential</t>
  </si>
  <si>
    <t>kwhr/kw/mo july</t>
  </si>
  <si>
    <t>Total Aux Power ( Wattts)</t>
  </si>
  <si>
    <t>kw/m2</t>
  </si>
  <si>
    <t>kwhr/kw/day</t>
  </si>
  <si>
    <t xml:space="preserve">   Solar Panel Operating Voltage (16V or 32V)</t>
  </si>
  <si>
    <t>(VDC)</t>
  </si>
  <si>
    <t>performance factor 0.75</t>
  </si>
  <si>
    <t>Flow</t>
  </si>
  <si>
    <t>Pump Mode</t>
  </si>
  <si>
    <t>Max flow in xxx units</t>
  </si>
  <si>
    <t>WATTS HYDRAULIC</t>
  </si>
  <si>
    <t>Max Rated Flow Rate per point</t>
  </si>
  <si>
    <t>Current Factor</t>
  </si>
  <si>
    <t>Multiplexor</t>
  </si>
  <si>
    <t>Current adder</t>
  </si>
  <si>
    <t>-40C</t>
  </si>
  <si>
    <t>-40 degF</t>
  </si>
  <si>
    <t>WATTHRS HYDRAULIC</t>
  </si>
  <si>
    <t>% of Max Flow</t>
  </si>
  <si>
    <t>-30C</t>
  </si>
  <si>
    <t>-22 degF</t>
  </si>
  <si>
    <t>Unit Conv</t>
  </si>
  <si>
    <t>Factor</t>
  </si>
  <si>
    <t>Yes</t>
  </si>
  <si>
    <t>-20C</t>
  </si>
  <si>
    <t>-4 degF</t>
  </si>
  <si>
    <t>-10C</t>
  </si>
  <si>
    <t>14 degF</t>
  </si>
  <si>
    <t>WATTHRS ELECTRIC</t>
  </si>
  <si>
    <t>US-Quarts/day</t>
  </si>
  <si>
    <t>&gt;= 32 degF</t>
  </si>
  <si>
    <t>EFF</t>
  </si>
  <si>
    <t>Aux Power</t>
  </si>
  <si>
    <t>Daily Energy Usage</t>
  </si>
  <si>
    <t>Temperature Factor</t>
  </si>
  <si>
    <t>Performance Factor - System efficency</t>
  </si>
  <si>
    <t>Battery Capacity for number days autonomy</t>
  </si>
  <si>
    <t>performance factor allows for conversion effiecinecy, cabling, and other losses.</t>
  </si>
  <si>
    <t># Batteries Required</t>
  </si>
  <si>
    <t>for Canadian data</t>
  </si>
  <si>
    <t>Excess Battery Capacity</t>
  </si>
  <si>
    <t xml:space="preserve">Performance Factor = </t>
  </si>
  <si>
    <t>http://198.103.48.154/fichier.php/codectec/Fr/2006-046/2006-046_OP-J_411-SOLRES_PV+map.pdf</t>
  </si>
  <si>
    <t>Final Autonomy</t>
  </si>
  <si>
    <t>Days</t>
  </si>
  <si>
    <t>https://glfc.cfsnet.nfis.org/mapserver/pv/municip.php?n=720&amp;NEK=e</t>
  </si>
  <si>
    <t>PV Potential Worst Month kWh/kW/mo</t>
  </si>
  <si>
    <t>PV Potential Best Month  kWh/kW/mo</t>
  </si>
  <si>
    <t>Area</t>
  </si>
  <si>
    <t>Ideal Tilt</t>
  </si>
  <si>
    <t>TOWN</t>
  </si>
  <si>
    <t>Verticle</t>
  </si>
  <si>
    <t>Lat + 15deg</t>
  </si>
  <si>
    <t>Lat + 15</t>
  </si>
  <si>
    <t>Latitude</t>
  </si>
  <si>
    <t>Lat+15</t>
  </si>
  <si>
    <t>CDN-Athabasca</t>
  </si>
  <si>
    <t xml:space="preserve">   Location</t>
  </si>
  <si>
    <t>CDN-Bonnyville</t>
  </si>
  <si>
    <t>USA-Texas-Midland</t>
  </si>
  <si>
    <t>CDN-Brooks</t>
  </si>
  <si>
    <t>CDN-Calgary</t>
  </si>
  <si>
    <t xml:space="preserve">   Location Latitude </t>
  </si>
  <si>
    <t>(deg North)</t>
  </si>
  <si>
    <t>CDN-Dawson Creek</t>
  </si>
  <si>
    <t>CDN-Drayton Valley</t>
  </si>
  <si>
    <t xml:space="preserve">   Daily power consumption of pump</t>
  </si>
  <si>
    <t>CDN-Drumheller</t>
  </si>
  <si>
    <t>CDN-Edmonton</t>
  </si>
  <si>
    <t>CDN-Edson</t>
  </si>
  <si>
    <t xml:space="preserve">   Power Stored per Day per panel</t>
  </si>
  <si>
    <t>CDN-Estevan</t>
  </si>
  <si>
    <t xml:space="preserve">   Number of Panels</t>
  </si>
  <si>
    <t>Panels</t>
  </si>
  <si>
    <t>CDN-Fort McMurray</t>
  </si>
  <si>
    <t>CDN-Ft. Nelson</t>
  </si>
  <si>
    <t>Excess Panel Power</t>
  </si>
  <si>
    <t>CDN-Grande Praire</t>
  </si>
  <si>
    <t>CDN-High Level</t>
  </si>
  <si>
    <t>CDN-Lloydminster</t>
  </si>
  <si>
    <t>CDN-Medicine Hat</t>
  </si>
  <si>
    <t>CDN-Pink Mountain</t>
  </si>
  <si>
    <t>CDN-Ponoka</t>
  </si>
  <si>
    <t>CDN-Prince George</t>
  </si>
  <si>
    <t>CDN-Red Deer</t>
  </si>
  <si>
    <t>CDN-Rimbey</t>
  </si>
  <si>
    <t>CDN-Slave Lake</t>
  </si>
  <si>
    <t>CDN-Swift Current</t>
  </si>
  <si>
    <t>CDN-Valleyview</t>
  </si>
  <si>
    <t>CDN-Weyburn</t>
  </si>
  <si>
    <t>CDN-Whitecourt</t>
  </si>
  <si>
    <t>USA-Arkansas - Ft Smith</t>
  </si>
  <si>
    <t>USA-California-Bakersfield</t>
  </si>
  <si>
    <t>USA-Colorado-Boulder</t>
  </si>
  <si>
    <t>USA-Louisiana-Shreveport</t>
  </si>
  <si>
    <t>USA-New Mexico-Albuquerque</t>
  </si>
  <si>
    <t>USA-New Mexico-Artesia</t>
  </si>
  <si>
    <t>USA-North Dakota-Minot</t>
  </si>
  <si>
    <t>USA-Oklahoma-OK city</t>
  </si>
  <si>
    <t>USA-Pennsylvania-Williamsport</t>
  </si>
  <si>
    <t>USA-Texas-Amarillo</t>
  </si>
  <si>
    <t>USA-Texas-Corpus Christi</t>
  </si>
  <si>
    <t>USA-Texas--ElPaso</t>
  </si>
  <si>
    <t>USA-Texas--Ft.Worth</t>
  </si>
  <si>
    <t>USA-Texas-San Antonio</t>
  </si>
  <si>
    <t>USA-Texas--Tyler</t>
  </si>
  <si>
    <t>USA-Wyoming-Rock Springs</t>
  </si>
  <si>
    <t>Argentina-Nequen</t>
  </si>
  <si>
    <t>Argentina-ComodoroRivadavia</t>
  </si>
  <si>
    <t>Argentina-RioGallegos</t>
  </si>
  <si>
    <t>Kuwait</t>
  </si>
  <si>
    <t>Malaysia</t>
  </si>
  <si>
    <t>Malaysia-Miri</t>
  </si>
  <si>
    <t>Pakistan</t>
  </si>
  <si>
    <t>Data Summary Table</t>
  </si>
  <si>
    <t>Max P</t>
  </si>
  <si>
    <t>MaxFlow</t>
  </si>
  <si>
    <t>InSight Compatable</t>
  </si>
  <si>
    <t>Stack compatible</t>
  </si>
  <si>
    <t>Min RPM</t>
  </si>
  <si>
    <t>Set</t>
  </si>
  <si>
    <t>Name-datalist</t>
  </si>
  <si>
    <t>Row</t>
  </si>
  <si>
    <t>rpm</t>
  </si>
  <si>
    <t>Interp Watts</t>
  </si>
  <si>
    <t>Voltage</t>
  </si>
  <si>
    <t>psi</t>
  </si>
  <si>
    <t>FUSION Pump Type</t>
  </si>
  <si>
    <t>SH-24V</t>
  </si>
  <si>
    <t>DH-24V</t>
  </si>
  <si>
    <t>SH-12V</t>
  </si>
  <si>
    <t>DH-12V</t>
  </si>
  <si>
    <t>Q/day</t>
  </si>
  <si>
    <t>FUSION2 150</t>
  </si>
  <si>
    <t>Rate</t>
  </si>
  <si>
    <t>50 Q/day</t>
  </si>
  <si>
    <t>100 Q/day</t>
  </si>
  <si>
    <t>Pressure</t>
  </si>
  <si>
    <t>1500 psi</t>
  </si>
  <si>
    <t>FUSION2 300</t>
  </si>
  <si>
    <t>180 Q/day</t>
  </si>
  <si>
    <t>360 Q/day</t>
  </si>
  <si>
    <t>90 Q/day</t>
  </si>
  <si>
    <t>3000 psi</t>
  </si>
  <si>
    <t>FUSION2 500</t>
  </si>
  <si>
    <t>120 Q/day</t>
  </si>
  <si>
    <t>240 Q/day</t>
  </si>
  <si>
    <t>60 Q/day</t>
  </si>
  <si>
    <t>5000 psi</t>
  </si>
  <si>
    <t>m</t>
  </si>
  <si>
    <t>b</t>
  </si>
  <si>
    <t>COMET2 100</t>
  </si>
  <si>
    <t>1000 psi</t>
  </si>
  <si>
    <t>linear pump curve pressure/volume curve fit  y = mx +b</t>
  </si>
  <si>
    <t>FUSION2 100</t>
  </si>
  <si>
    <t>1300 Q/d</t>
  </si>
  <si>
    <t>Date</t>
  </si>
  <si>
    <t>Tech:  Blair Boone</t>
  </si>
  <si>
    <t>FUSION2 300 pump - 24V fusion2 motor</t>
  </si>
  <si>
    <t>RPMs</t>
  </si>
  <si>
    <t>pressure</t>
  </si>
  <si>
    <t># Heads</t>
  </si>
  <si>
    <t>Single</t>
  </si>
  <si>
    <t>mWhr</t>
  </si>
  <si>
    <t>min</t>
  </si>
  <si>
    <t>Piston</t>
  </si>
  <si>
    <t>Quiescent</t>
  </si>
  <si>
    <t>Supply V</t>
  </si>
  <si>
    <t>Display on</t>
  </si>
  <si>
    <t>Stroke</t>
  </si>
  <si>
    <t>Display off</t>
  </si>
  <si>
    <t>Head</t>
  </si>
  <si>
    <t>soft seat, cartridge valve, bleeder head</t>
  </si>
  <si>
    <t>Display</t>
  </si>
  <si>
    <t>head config</t>
  </si>
  <si>
    <t>soft seat poppet suction, soft seat discharge</t>
  </si>
  <si>
    <t>Maintaining constant RPM</t>
  </si>
  <si>
    <t>Power - ELEC</t>
  </si>
  <si>
    <t>FLOW</t>
  </si>
  <si>
    <t>mech work</t>
  </si>
  <si>
    <t>Effieciency</t>
  </si>
  <si>
    <t>PSI</t>
  </si>
  <si>
    <t>Sample Time(min)</t>
  </si>
  <si>
    <t>Disp off Watts</t>
  </si>
  <si>
    <t>time  sec</t>
  </si>
  <si>
    <t>draw  L</t>
  </si>
  <si>
    <t>Rate  L/day</t>
  </si>
  <si>
    <t>n</t>
  </si>
  <si>
    <t>Pump curve</t>
  </si>
  <si>
    <t>Flow Table ( L/day)</t>
  </si>
  <si>
    <t>CF @ 500 psi</t>
  </si>
  <si>
    <t>Enter Flow</t>
  </si>
  <si>
    <t>Enter pressure</t>
  </si>
  <si>
    <t>max</t>
  </si>
  <si>
    <t>Pcor</t>
  </si>
  <si>
    <t>avg slope of Pump Curve</t>
  </si>
  <si>
    <t>0.11 nom</t>
  </si>
  <si>
    <t>Calc RPM</t>
  </si>
  <si>
    <t>P Corr RPM</t>
  </si>
  <si>
    <t>Interpolation Table</t>
  </si>
  <si>
    <t>Watts Table</t>
  </si>
  <si>
    <t>Interm</t>
  </si>
  <si>
    <t>Enter RPM</t>
  </si>
  <si>
    <t>Enter Pressure</t>
  </si>
  <si>
    <t>Calc Watts</t>
  </si>
  <si>
    <t>Dual</t>
  </si>
  <si>
    <t>glycol f2-500 - 24V fusion2 motor</t>
  </si>
  <si>
    <t>single</t>
  </si>
  <si>
    <t>25.0 V</t>
  </si>
  <si>
    <t>high pressure</t>
  </si>
  <si>
    <t>soft seat cartridge</t>
  </si>
  <si>
    <t>dual</t>
  </si>
  <si>
    <t>glycol COMET_100 pump - 24V comet motor</t>
  </si>
  <si>
    <t>HIGH VOLUME</t>
  </si>
  <si>
    <t>glycol COMET_100 pump - 24V fusion2 motor</t>
  </si>
  <si>
    <t>duty cycle</t>
  </si>
  <si>
    <t>min rpm</t>
  </si>
  <si>
    <t>measured</t>
  </si>
  <si>
    <t>average rate</t>
  </si>
  <si>
    <t>L/d</t>
  </si>
  <si>
    <r>
      <t>FUSION</t>
    </r>
    <r>
      <rPr>
        <vertAlign val="superscript"/>
        <sz val="10"/>
        <rFont val="Arial"/>
        <family val="2"/>
      </rPr>
      <t>2</t>
    </r>
    <r>
      <rPr>
        <sz val="10"/>
        <rFont val="Arial"/>
        <family val="2"/>
      </rPr>
      <t xml:space="preserve"> 150, DH, 12 VDC</t>
    </r>
  </si>
  <si>
    <r>
      <t>FUSION</t>
    </r>
    <r>
      <rPr>
        <vertAlign val="superscript"/>
        <sz val="10"/>
        <rFont val="Arial"/>
        <family val="2"/>
      </rPr>
      <t>2</t>
    </r>
    <r>
      <rPr>
        <sz val="10"/>
        <rFont val="Arial"/>
        <family val="2"/>
      </rPr>
      <t xml:space="preserve"> 150, SH, 24 VDC</t>
    </r>
  </si>
  <si>
    <r>
      <t>FUSION</t>
    </r>
    <r>
      <rPr>
        <vertAlign val="superscript"/>
        <sz val="10"/>
        <rFont val="Arial"/>
        <family val="2"/>
      </rPr>
      <t>2</t>
    </r>
    <r>
      <rPr>
        <sz val="10"/>
        <rFont val="Arial"/>
        <family val="2"/>
      </rPr>
      <t xml:space="preserve"> 150, DH, 24 VDC</t>
    </r>
  </si>
  <si>
    <r>
      <t>FUSION</t>
    </r>
    <r>
      <rPr>
        <vertAlign val="superscript"/>
        <sz val="10"/>
        <rFont val="Arial"/>
        <family val="2"/>
      </rPr>
      <t>2</t>
    </r>
    <r>
      <rPr>
        <sz val="10"/>
        <rFont val="Arial"/>
        <family val="2"/>
      </rPr>
      <t xml:space="preserve"> 300, SH, 12 VDC</t>
    </r>
  </si>
  <si>
    <r>
      <t>FUSION</t>
    </r>
    <r>
      <rPr>
        <vertAlign val="superscript"/>
        <sz val="10"/>
        <rFont val="Arial"/>
        <family val="2"/>
      </rPr>
      <t>2</t>
    </r>
    <r>
      <rPr>
        <sz val="10"/>
        <rFont val="Arial"/>
        <family val="2"/>
      </rPr>
      <t xml:space="preserve"> 300, DH, 12 VDC</t>
    </r>
  </si>
  <si>
    <r>
      <t>FUSION</t>
    </r>
    <r>
      <rPr>
        <vertAlign val="superscript"/>
        <sz val="10"/>
        <rFont val="Arial"/>
        <family val="2"/>
      </rPr>
      <t>2</t>
    </r>
    <r>
      <rPr>
        <sz val="10"/>
        <rFont val="Arial"/>
        <family val="2"/>
      </rPr>
      <t xml:space="preserve"> 100, DH, 24 VDC</t>
    </r>
  </si>
  <si>
    <r>
      <t>FUSION</t>
    </r>
    <r>
      <rPr>
        <vertAlign val="superscript"/>
        <sz val="10"/>
        <rFont val="Arial"/>
        <family val="2"/>
      </rPr>
      <t>2</t>
    </r>
    <r>
      <rPr>
        <sz val="10"/>
        <rFont val="Arial"/>
        <family val="2"/>
      </rPr>
      <t xml:space="preserve"> 150, SH, 12 VDC</t>
    </r>
  </si>
  <si>
    <r>
      <t>FUSION</t>
    </r>
    <r>
      <rPr>
        <vertAlign val="superscript"/>
        <sz val="10"/>
        <rFont val="Arial"/>
        <family val="2"/>
      </rPr>
      <t>2</t>
    </r>
    <r>
      <rPr>
        <sz val="10"/>
        <rFont val="Arial"/>
        <family val="2"/>
      </rPr>
      <t xml:space="preserve"> 300, SH, 24 VDC</t>
    </r>
  </si>
  <si>
    <r>
      <t>FUSION</t>
    </r>
    <r>
      <rPr>
        <vertAlign val="superscript"/>
        <sz val="10"/>
        <rFont val="Arial"/>
        <family val="2"/>
      </rPr>
      <t>2</t>
    </r>
    <r>
      <rPr>
        <sz val="10"/>
        <rFont val="Arial"/>
        <family val="2"/>
      </rPr>
      <t xml:space="preserve"> 300, DH, 24 VDC</t>
    </r>
  </si>
  <si>
    <r>
      <t>FUSION</t>
    </r>
    <r>
      <rPr>
        <vertAlign val="superscript"/>
        <sz val="10"/>
        <rFont val="Arial"/>
        <family val="2"/>
      </rPr>
      <t>2</t>
    </r>
    <r>
      <rPr>
        <sz val="10"/>
        <rFont val="Arial"/>
        <family val="2"/>
      </rPr>
      <t xml:space="preserve"> 500, SH, 12 VDC</t>
    </r>
  </si>
  <si>
    <r>
      <t>FUSION</t>
    </r>
    <r>
      <rPr>
        <vertAlign val="superscript"/>
        <sz val="10"/>
        <rFont val="Arial"/>
        <family val="2"/>
      </rPr>
      <t>2</t>
    </r>
    <r>
      <rPr>
        <sz val="10"/>
        <rFont val="Arial"/>
        <family val="2"/>
      </rPr>
      <t xml:space="preserve"> 500, DH, 12 VDC</t>
    </r>
  </si>
  <si>
    <r>
      <t>FUSION</t>
    </r>
    <r>
      <rPr>
        <vertAlign val="superscript"/>
        <sz val="10"/>
        <rFont val="Arial"/>
        <family val="2"/>
      </rPr>
      <t>2</t>
    </r>
    <r>
      <rPr>
        <sz val="10"/>
        <rFont val="Arial"/>
        <family val="2"/>
      </rPr>
      <t xml:space="preserve"> 500, SH, 24 VDC</t>
    </r>
  </si>
  <si>
    <r>
      <t>FUSION</t>
    </r>
    <r>
      <rPr>
        <vertAlign val="superscript"/>
        <sz val="10"/>
        <rFont val="Arial"/>
        <family val="2"/>
      </rPr>
      <t>2</t>
    </r>
    <r>
      <rPr>
        <sz val="10"/>
        <rFont val="Arial"/>
        <family val="2"/>
      </rPr>
      <t xml:space="preserve"> 500, DH, 24 VDC</t>
    </r>
  </si>
  <si>
    <r>
      <t>COMET</t>
    </r>
    <r>
      <rPr>
        <vertAlign val="superscript"/>
        <sz val="10"/>
        <rFont val="Arial"/>
        <family val="2"/>
      </rPr>
      <t>2</t>
    </r>
    <r>
      <rPr>
        <sz val="10"/>
        <rFont val="Arial"/>
        <family val="2"/>
      </rPr>
      <t xml:space="preserve"> 100, DH, 24 VDC</t>
    </r>
  </si>
  <si>
    <t>max flow</t>
  </si>
  <si>
    <t>upper bound</t>
  </si>
  <si>
    <t>upper bound (L/D)</t>
  </si>
  <si>
    <t>CALCULATED Max Flow</t>
  </si>
  <si>
    <t>Termperature Table</t>
  </si>
  <si>
    <t xml:space="preserve">  Warnings</t>
  </si>
  <si>
    <t>Sirius F2-MPPT Charge Controller</t>
  </si>
  <si>
    <t>n - efficiency</t>
  </si>
  <si>
    <t>% Watts/ deg C</t>
  </si>
  <si>
    <t>Std cond</t>
  </si>
  <si>
    <t>C</t>
  </si>
  <si>
    <t>Solar Panel Data</t>
  </si>
  <si>
    <t>deg C</t>
  </si>
  <si>
    <t>Avg midday Dec-Jan temp</t>
  </si>
  <si>
    <t>Adjusted MPPT n</t>
  </si>
  <si>
    <t>Adjusted PWM n</t>
  </si>
  <si>
    <t>Batt Coef</t>
  </si>
  <si>
    <t>V/degC/cell</t>
  </si>
  <si>
    <t>Volts</t>
  </si>
  <si>
    <t>volts/deg C</t>
  </si>
  <si>
    <t>Adj float Voltage 12V</t>
  </si>
  <si>
    <t>Adj float voltage 24V</t>
  </si>
  <si>
    <t>%Volts/degC</t>
  </si>
  <si>
    <t>Heliene 36P volt Temp coef</t>
  </si>
  <si>
    <t>Heliend 36P MAxP Temp coef</t>
  </si>
  <si>
    <t>MPP voltage</t>
  </si>
  <si>
    <t>V</t>
  </si>
  <si>
    <t>155W Heliene 36P poly</t>
  </si>
  <si>
    <t>25C</t>
  </si>
  <si>
    <t>Adj MPP Panel Voltage</t>
  </si>
  <si>
    <t>Ratio MPPT-n /PWM n</t>
  </si>
  <si>
    <t>Base Sirius MPPT</t>
  </si>
  <si>
    <t>Base PWM controller</t>
  </si>
  <si>
    <t>Winter Mid day avghi temp</t>
  </si>
  <si>
    <t>https://weatherspark.com/m/2795/1/Average-Weather-in-January-in-Fort-McMurray-Canada</t>
  </si>
  <si>
    <t>Check valve pressure</t>
  </si>
  <si>
    <t>Actual inj pressure</t>
  </si>
  <si>
    <t>Energy Harvested MPPT</t>
  </si>
  <si>
    <t>Impp</t>
  </si>
  <si>
    <t>A</t>
  </si>
  <si>
    <t>Isc ( short circuit)</t>
  </si>
  <si>
    <t>Energy Harvedsted PWM</t>
  </si>
  <si>
    <t xml:space="preserve">   MPPT/PWM Charge Reg Advantage</t>
  </si>
  <si>
    <t xml:space="preserve">   Panel  Nominal Voltage</t>
  </si>
  <si>
    <t>Solar Data Adjustment ( 0.75 to 0.85 factor)</t>
  </si>
  <si>
    <t>Insolation -- IF CANADA then verticle * Solar data Adjustment</t>
  </si>
  <si>
    <t>Design Targets</t>
  </si>
  <si>
    <t>Daily Volume required</t>
  </si>
  <si>
    <t>with Powersavers</t>
  </si>
  <si>
    <t>Additional Data</t>
  </si>
  <si>
    <t>Cellular</t>
  </si>
  <si>
    <t>MPPT</t>
  </si>
  <si>
    <t>AmpHrs</t>
  </si>
  <si>
    <t xml:space="preserve">   Select Panel Size                                  </t>
  </si>
  <si>
    <t>Watts/Panel</t>
  </si>
  <si>
    <t>days</t>
  </si>
  <si>
    <t xml:space="preserve">  Results</t>
  </si>
  <si>
    <t>degrees from Horizontal</t>
  </si>
  <si>
    <t xml:space="preserve">   Ideal Panel Tilt </t>
  </si>
  <si>
    <t>Solar</t>
  </si>
  <si>
    <t>Hrs/day sunlight - worst case</t>
  </si>
  <si>
    <t xml:space="preserve">     Vertical Panel</t>
  </si>
  <si>
    <t xml:space="preserve">     At Ideal Panel Tilt angle</t>
  </si>
  <si>
    <t xml:space="preserve">     Daily power consumption of system</t>
  </si>
  <si>
    <t xml:space="preserve">     Power Stored per Day per panel</t>
  </si>
  <si>
    <t xml:space="preserve">     Total Power Stored per day</t>
  </si>
  <si>
    <t>Watt-Hrs</t>
  </si>
  <si>
    <t>System Power</t>
  </si>
  <si>
    <t>Draw at Design Pressure</t>
  </si>
  <si>
    <t>Required Energy for total num days autonomy</t>
  </si>
  <si>
    <t>glycol COMET2 pump - 24V comet motor</t>
  </si>
  <si>
    <t>Tech: satnam singh</t>
  </si>
  <si>
    <t>standard</t>
  </si>
  <si>
    <t>soft seat cartridge, soft seat discharge</t>
  </si>
  <si>
    <t>Aux power Data Table</t>
  </si>
  <si>
    <t>MidDay Temps - Weather</t>
  </si>
  <si>
    <t>X:\PRODUCTS\SIS\Flow Spec Software\USA Solar Data</t>
  </si>
  <si>
    <t>https://www.nrcan.gc.ca/energy/energy-sources-distribution/renewables/solar-photovoltaic-energy/solar-resource-data-available-canada/14390</t>
  </si>
  <si>
    <t>Canada's data</t>
  </si>
  <si>
    <t>https://fgp-pgf.maps.arcgis.com/apps/webappviewer/index.html?id=c91106a7d8c446a19dd1909fd93645d3</t>
  </si>
  <si>
    <t>Sample Time (sec)</t>
  </si>
  <si>
    <t>HP Soft Seat w bleed</t>
  </si>
  <si>
    <t>mA</t>
  </si>
  <si>
    <t>Fixed for F2 controller</t>
  </si>
  <si>
    <t>Do not change</t>
  </si>
  <si>
    <t>COMET2-300, SH, 24 VDC</t>
  </si>
  <si>
    <t>COMET2-300, SH, 12 VDC</t>
  </si>
  <si>
    <t>COMET2-300, DH, 24 VDC</t>
  </si>
  <si>
    <t>COMET2-300, DH, 12 VDC</t>
  </si>
  <si>
    <t>COMET2-500, HP, DH, 24 VDC</t>
  </si>
  <si>
    <t xml:space="preserve">   Excess Panel Capacity</t>
  </si>
  <si>
    <t xml:space="preserve">    Min Total Solar Panel Watts Required</t>
  </si>
  <si>
    <t>12V/24V Comet Motor Power</t>
  </si>
  <si>
    <t>Batteries</t>
  </si>
  <si>
    <t>24V comets are measured</t>
  </si>
  <si>
    <t xml:space="preserve">12V comet motors are show to be 1.25 more watts due to </t>
  </si>
  <si>
    <t>higher currents, winding, cable, and controller losses.</t>
  </si>
  <si>
    <t>Corrected 100 rpm data July 27</t>
  </si>
  <si>
    <t>100 rpm data corrected july 27</t>
  </si>
  <si>
    <t>flow</t>
  </si>
  <si>
    <t>watts</t>
  </si>
  <si>
    <t>Rev 2.14 - Sept 27-2021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</si>
</sst>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0"/>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u/>
      <sz val="10"/>
      <color indexed="36"/>
      <name val="Arial"/>
      <family val="2"/>
    </font>
    <font>
      <b/>
      <sz val="10"/>
      <name val="Arial"/>
      <family val="2"/>
    </font>
    <font>
      <sz val="8"/>
      <name val="Arial"/>
      <family val="2"/>
    </font>
    <font>
      <b/>
      <sz val="20"/>
      <name val="Arial"/>
      <family val="2"/>
    </font>
    <font>
      <b/>
      <sz val="16"/>
      <name val="Arial"/>
      <family val="2"/>
    </font>
    <font>
      <sz val="10"/>
      <color rgb="FFFF0000"/>
      <name val="Arial"/>
      <family val="2"/>
    </font>
    <font>
      <sz val="10"/>
      <color rgb="FFFFFF00"/>
      <name val="Arial"/>
      <family val="2"/>
    </font>
    <font>
      <b/>
      <i/>
      <sz val="16"/>
      <color rgb="FFFFFF00"/>
      <name val="Arial"/>
      <family val="2"/>
    </font>
    <font>
      <b/>
      <sz val="14"/>
      <color rgb="FF444444"/>
      <name val="Segoe UI"/>
      <family val="2"/>
    </font>
    <font>
      <sz val="11"/>
      <color rgb="FFFF0000"/>
      <name val="Calibri"/>
      <family val="2"/>
      <scheme val="minor"/>
    </font>
    <font>
      <b/>
      <sz val="11"/>
      <color theme="1"/>
      <name val="Calibri"/>
      <family val="2"/>
      <scheme val="minor"/>
    </font>
    <font>
      <sz val="11"/>
      <color rgb="FF000000"/>
      <name val="Calibri"/>
      <family val="2"/>
    </font>
    <font>
      <b/>
      <sz val="11"/>
      <color rgb="FF000000"/>
      <name val="Calibri"/>
      <family val="2"/>
    </font>
    <font>
      <b/>
      <sz val="9"/>
      <color indexed="81"/>
      <name val="Tahoma"/>
      <family val="2"/>
    </font>
    <font>
      <sz val="9"/>
      <color indexed="81"/>
      <name val="Tahoma"/>
      <family val="2"/>
    </font>
    <font>
      <b/>
      <sz val="16"/>
      <color theme="1"/>
      <name val="Calibri"/>
      <family val="2"/>
      <scheme val="minor"/>
    </font>
    <font>
      <b/>
      <u/>
      <sz val="11"/>
      <color theme="1"/>
      <name val="Calibri"/>
      <family val="2"/>
      <scheme val="minor"/>
    </font>
    <font>
      <u/>
      <sz val="11"/>
      <color theme="1"/>
      <name val="Calibri"/>
      <family val="2"/>
      <scheme val="minor"/>
    </font>
    <font>
      <sz val="11"/>
      <color theme="3" tint="0.39997558519241921"/>
      <name val="Calibri"/>
      <family val="2"/>
      <scheme val="minor"/>
    </font>
    <font>
      <b/>
      <sz val="11"/>
      <color theme="3" tint="0.39997558519241921"/>
      <name val="Calibri"/>
      <family val="2"/>
      <scheme val="minor"/>
    </font>
    <font>
      <vertAlign val="superscript"/>
      <sz val="10"/>
      <name val="Arial"/>
      <family val="2"/>
    </font>
    <font>
      <sz val="11"/>
      <color rgb="FF3F3F76"/>
      <name val="Calibri"/>
      <family val="2"/>
      <scheme val="minor"/>
    </font>
    <font>
      <i/>
      <sz val="11"/>
      <color rgb="FF7F7F7F"/>
      <name val="Calibri"/>
      <family val="2"/>
      <scheme val="minor"/>
    </font>
    <font>
      <sz val="16"/>
      <name val="Arial"/>
      <family val="2"/>
    </font>
    <font>
      <sz val="10"/>
      <color theme="1"/>
      <name val="Arial"/>
      <family val="2"/>
    </font>
    <font>
      <b/>
      <u/>
      <sz val="10"/>
      <name val="Arial"/>
      <family val="2"/>
    </font>
  </fonts>
  <fills count="26">
    <fill>
      <patternFill patternType="none"/>
    </fill>
    <fill>
      <patternFill patternType="gray125"/>
    </fill>
    <fill>
      <patternFill patternType="solid">
        <fgColor indexed="13"/>
        <bgColor indexed="64"/>
      </patternFill>
    </fill>
    <fill>
      <patternFill patternType="solid">
        <fgColor indexed="8"/>
        <bgColor indexed="64"/>
      </patternFill>
    </fill>
    <fill>
      <patternFill patternType="solid">
        <fgColor indexed="41"/>
        <bgColor indexed="64"/>
      </patternFill>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00B050"/>
        <bgColor indexed="64"/>
      </patternFill>
    </fill>
    <fill>
      <patternFill patternType="solid">
        <fgColor theme="2" tint="-0.249977111117893"/>
        <bgColor indexed="64"/>
      </patternFill>
    </fill>
    <fill>
      <patternFill patternType="solid">
        <fgColor theme="1"/>
        <bgColor indexed="64"/>
      </patternFill>
    </fill>
    <fill>
      <patternFill patternType="solid">
        <fgColor theme="5" tint="0.59999389629810485"/>
        <bgColor indexed="64"/>
      </patternFill>
    </fill>
    <fill>
      <patternFill patternType="solid">
        <fgColor rgb="FFFFC00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C6E0B4"/>
        <bgColor indexed="64"/>
      </patternFill>
    </fill>
    <fill>
      <patternFill patternType="solid">
        <fgColor rgb="FFB4C6E7"/>
        <bgColor indexed="64"/>
      </patternFill>
    </fill>
    <fill>
      <patternFill patternType="solid">
        <fgColor rgb="FFF4B084"/>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CC99"/>
      </patternFill>
    </fill>
    <fill>
      <patternFill patternType="solid">
        <fgColor theme="4" tint="0.59999389629810485"/>
        <bgColor indexed="64"/>
      </patternFill>
    </fill>
    <fill>
      <patternFill patternType="solid">
        <fgColor theme="5" tint="0.79998168889431442"/>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bottom/>
      <diagonal/>
    </border>
  </borders>
  <cellStyleXfs count="8">
    <xf numFmtId="0" fontId="0" fillId="0" borderId="0"/>
    <xf numFmtId="0" fontId="9"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9" fontId="7" fillId="0" borderId="0" applyFont="0" applyFill="0" applyBorder="0" applyAlignment="0" applyProtection="0"/>
    <xf numFmtId="0" fontId="6" fillId="0" borderId="0"/>
    <xf numFmtId="9" fontId="6" fillId="0" borderId="0" applyFont="0" applyFill="0" applyBorder="0" applyAlignment="0" applyProtection="0"/>
    <xf numFmtId="0" fontId="30" fillId="23" borderId="32" applyNumberFormat="0" applyAlignment="0" applyProtection="0"/>
    <xf numFmtId="0" fontId="31" fillId="0" borderId="0" applyNumberFormat="0" applyFill="0" applyBorder="0" applyAlignment="0" applyProtection="0"/>
  </cellStyleXfs>
  <cellXfs count="292">
    <xf numFmtId="0" fontId="0" fillId="0" borderId="0" xfId="0"/>
    <xf numFmtId="0" fontId="0" fillId="3" borderId="0" xfId="0" applyFill="1"/>
    <xf numFmtId="0" fontId="10" fillId="0" borderId="0" xfId="0" applyFont="1" applyAlignment="1">
      <alignment horizontal="center" vertical="center" wrapText="1"/>
    </xf>
    <xf numFmtId="0" fontId="12" fillId="0" borderId="0" xfId="0" applyFont="1" applyAlignment="1">
      <alignment vertical="center"/>
    </xf>
    <xf numFmtId="0" fontId="13" fillId="0" borderId="0" xfId="0" applyFont="1" applyAlignment="1">
      <alignment horizontal="center" vertical="center" wrapText="1"/>
    </xf>
    <xf numFmtId="0" fontId="13" fillId="3" borderId="0" xfId="0" applyFont="1" applyFill="1" applyAlignment="1">
      <alignment horizontal="center" vertical="center" wrapText="1"/>
    </xf>
    <xf numFmtId="0" fontId="0" fillId="0" borderId="2" xfId="0" applyBorder="1"/>
    <xf numFmtId="0" fontId="0" fillId="0" borderId="4" xfId="0" applyBorder="1"/>
    <xf numFmtId="0" fontId="0" fillId="0" borderId="3" xfId="0" applyBorder="1" applyAlignment="1">
      <alignment horizontal="left" indent="1"/>
    </xf>
    <xf numFmtId="0" fontId="10" fillId="0" borderId="7" xfId="0" applyFont="1" applyBorder="1" applyAlignment="1">
      <alignment horizontal="left" indent="1"/>
    </xf>
    <xf numFmtId="0" fontId="0" fillId="0" borderId="8" xfId="0" applyBorder="1"/>
    <xf numFmtId="0" fontId="0" fillId="0" borderId="3" xfId="0" applyBorder="1" applyAlignment="1">
      <alignment horizontal="left" indent="2"/>
    </xf>
    <xf numFmtId="164" fontId="0" fillId="0" borderId="0" xfId="0" applyNumberFormat="1"/>
    <xf numFmtId="165" fontId="0" fillId="0" borderId="0" xfId="3" applyNumberFormat="1" applyFont="1" applyFill="1" applyBorder="1" applyProtection="1"/>
    <xf numFmtId="0" fontId="10" fillId="0" borderId="3" xfId="0" applyFont="1" applyBorder="1" applyAlignment="1">
      <alignment horizontal="left" indent="1"/>
    </xf>
    <xf numFmtId="164" fontId="0" fillId="4" borderId="1" xfId="0" applyNumberFormat="1" applyFill="1" applyBorder="1"/>
    <xf numFmtId="1" fontId="0" fillId="0" borderId="0" xfId="0" applyNumberFormat="1"/>
    <xf numFmtId="0" fontId="0" fillId="2" borderId="10" xfId="0" applyFill="1" applyBorder="1" applyProtection="1">
      <protection locked="0"/>
    </xf>
    <xf numFmtId="0" fontId="0" fillId="0" borderId="0" xfId="0" applyAlignment="1">
      <alignment horizontal="center"/>
    </xf>
    <xf numFmtId="0" fontId="0" fillId="0" borderId="13" xfId="0" applyBorder="1"/>
    <xf numFmtId="0" fontId="0" fillId="8" borderId="0" xfId="0" applyFill="1"/>
    <xf numFmtId="0" fontId="0" fillId="5" borderId="0" xfId="0" applyFill="1"/>
    <xf numFmtId="0" fontId="15" fillId="11" borderId="0" xfId="0" applyFont="1" applyFill="1"/>
    <xf numFmtId="0" fontId="16" fillId="11" borderId="0" xfId="0" applyFont="1" applyFill="1"/>
    <xf numFmtId="0" fontId="0" fillId="0" borderId="12" xfId="0" applyBorder="1"/>
    <xf numFmtId="0" fontId="0" fillId="12" borderId="12" xfId="0" applyFill="1" applyBorder="1"/>
    <xf numFmtId="0" fontId="8" fillId="0" borderId="0" xfId="2" applyAlignment="1" applyProtection="1"/>
    <xf numFmtId="0" fontId="0" fillId="14" borderId="12" xfId="0" applyFill="1" applyBorder="1"/>
    <xf numFmtId="0" fontId="0" fillId="0" borderId="14" xfId="0" applyBorder="1"/>
    <xf numFmtId="0" fontId="17" fillId="0" borderId="0" xfId="0" applyFont="1" applyAlignment="1">
      <alignment wrapText="1"/>
    </xf>
    <xf numFmtId="0" fontId="0" fillId="0" borderId="12" xfId="0" applyBorder="1" applyAlignment="1">
      <alignment horizontal="center"/>
    </xf>
    <xf numFmtId="2" fontId="0" fillId="0" borderId="12" xfId="0" applyNumberFormat="1" applyBorder="1"/>
    <xf numFmtId="0" fontId="9" fillId="0" borderId="0" xfId="1" applyAlignment="1" applyProtection="1"/>
    <xf numFmtId="0" fontId="21" fillId="16" borderId="11" xfId="0" applyFont="1" applyFill="1" applyBorder="1" applyAlignment="1">
      <alignment horizontal="center" vertical="center"/>
    </xf>
    <xf numFmtId="0" fontId="20" fillId="16" borderId="6" xfId="0" applyFont="1" applyFill="1" applyBorder="1" applyAlignment="1">
      <alignment horizontal="center" vertical="center"/>
    </xf>
    <xf numFmtId="0" fontId="21" fillId="17" borderId="11" xfId="0" applyFont="1" applyFill="1" applyBorder="1" applyAlignment="1">
      <alignment horizontal="center" vertical="center"/>
    </xf>
    <xf numFmtId="0" fontId="20" fillId="17" borderId="6" xfId="0" applyFont="1" applyFill="1" applyBorder="1" applyAlignment="1">
      <alignment horizontal="center" vertical="center"/>
    </xf>
    <xf numFmtId="0" fontId="21" fillId="18" borderId="11" xfId="0" applyFont="1" applyFill="1" applyBorder="1" applyAlignment="1">
      <alignment horizontal="center" vertical="center"/>
    </xf>
    <xf numFmtId="0" fontId="20" fillId="18" borderId="6" xfId="0" applyFont="1" applyFill="1" applyBorder="1" applyAlignment="1">
      <alignment horizontal="center" vertical="center"/>
    </xf>
    <xf numFmtId="0" fontId="20" fillId="18" borderId="11" xfId="0" applyFont="1" applyFill="1" applyBorder="1" applyAlignment="1">
      <alignment horizontal="center" vertical="center"/>
    </xf>
    <xf numFmtId="0" fontId="6" fillId="0" borderId="0" xfId="4"/>
    <xf numFmtId="0" fontId="6" fillId="0" borderId="12" xfId="4" applyBorder="1" applyAlignment="1">
      <alignment horizontal="center"/>
    </xf>
    <xf numFmtId="15" fontId="6" fillId="0" borderId="12" xfId="4" applyNumberFormat="1" applyBorder="1"/>
    <xf numFmtId="0" fontId="6" fillId="0" borderId="12" xfId="4" applyBorder="1"/>
    <xf numFmtId="165" fontId="6" fillId="0" borderId="0" xfId="5" applyNumberFormat="1" applyFont="1"/>
    <xf numFmtId="0" fontId="24" fillId="8" borderId="0" xfId="4" applyFont="1" applyFill="1"/>
    <xf numFmtId="0" fontId="24" fillId="8" borderId="0" xfId="4" applyFont="1" applyFill="1" applyAlignment="1">
      <alignment horizontal="center"/>
    </xf>
    <xf numFmtId="0" fontId="19" fillId="0" borderId="12" xfId="4" applyFont="1" applyBorder="1"/>
    <xf numFmtId="0" fontId="6" fillId="0" borderId="18" xfId="4" applyBorder="1"/>
    <xf numFmtId="0" fontId="19" fillId="0" borderId="0" xfId="4" applyFont="1"/>
    <xf numFmtId="0" fontId="19" fillId="0" borderId="0" xfId="4" applyFont="1" applyAlignment="1">
      <alignment horizontal="center"/>
    </xf>
    <xf numFmtId="0" fontId="19" fillId="0" borderId="19" xfId="4" applyFont="1" applyBorder="1"/>
    <xf numFmtId="0" fontId="19" fillId="0" borderId="20" xfId="4" applyFont="1" applyBorder="1"/>
    <xf numFmtId="0" fontId="19" fillId="0" borderId="21" xfId="4" applyFont="1" applyBorder="1" applyAlignment="1">
      <alignment horizontal="center"/>
    </xf>
    <xf numFmtId="0" fontId="19" fillId="0" borderId="21" xfId="4" applyFont="1" applyBorder="1"/>
    <xf numFmtId="0" fontId="19" fillId="0" borderId="20" xfId="4" applyFont="1" applyBorder="1" applyAlignment="1">
      <alignment horizontal="center"/>
    </xf>
    <xf numFmtId="0" fontId="19" fillId="0" borderId="24" xfId="4" applyFont="1" applyBorder="1" applyAlignment="1">
      <alignment horizontal="center"/>
    </xf>
    <xf numFmtId="0" fontId="19" fillId="0" borderId="8" xfId="4" applyFont="1" applyBorder="1"/>
    <xf numFmtId="0" fontId="6" fillId="0" borderId="25" xfId="4" applyBorder="1"/>
    <xf numFmtId="0" fontId="6" fillId="0" borderId="26" xfId="4" applyBorder="1"/>
    <xf numFmtId="0" fontId="19" fillId="0" borderId="9" xfId="4" applyFont="1" applyBorder="1" applyAlignment="1">
      <alignment horizontal="center"/>
    </xf>
    <xf numFmtId="0" fontId="19" fillId="5" borderId="9" xfId="4" applyFont="1" applyFill="1" applyBorder="1" applyAlignment="1">
      <alignment horizontal="center"/>
    </xf>
    <xf numFmtId="0" fontId="19" fillId="19" borderId="12" xfId="4" applyFont="1" applyFill="1" applyBorder="1" applyAlignment="1">
      <alignment horizontal="center"/>
    </xf>
    <xf numFmtId="0" fontId="19" fillId="0" borderId="27" xfId="4" applyFont="1" applyBorder="1" applyAlignment="1">
      <alignment horizontal="center"/>
    </xf>
    <xf numFmtId="0" fontId="19" fillId="20" borderId="27" xfId="4" applyFont="1" applyFill="1" applyBorder="1" applyAlignment="1">
      <alignment horizontal="center"/>
    </xf>
    <xf numFmtId="165" fontId="19" fillId="0" borderId="27" xfId="5" applyNumberFormat="1" applyFont="1" applyBorder="1" applyAlignment="1">
      <alignment horizontal="center"/>
    </xf>
    <xf numFmtId="0" fontId="19" fillId="0" borderId="28" xfId="4" applyFont="1" applyBorder="1" applyAlignment="1">
      <alignment horizontal="center"/>
    </xf>
    <xf numFmtId="0" fontId="6" fillId="0" borderId="27" xfId="4" applyBorder="1"/>
    <xf numFmtId="0" fontId="25" fillId="0" borderId="29" xfId="4" applyFont="1" applyBorder="1" applyAlignment="1">
      <alignment horizontal="center"/>
    </xf>
    <xf numFmtId="0" fontId="26" fillId="0" borderId="0" xfId="4" applyFont="1" applyAlignment="1">
      <alignment horizontal="center"/>
    </xf>
    <xf numFmtId="0" fontId="25" fillId="0" borderId="0" xfId="4" applyFont="1" applyAlignment="1">
      <alignment horizontal="center"/>
    </xf>
    <xf numFmtId="0" fontId="19" fillId="0" borderId="14" xfId="4" applyFont="1" applyBorder="1"/>
    <xf numFmtId="2" fontId="6" fillId="20" borderId="12" xfId="4" applyNumberFormat="1" applyFill="1" applyBorder="1" applyAlignment="1">
      <alignment horizontal="center"/>
    </xf>
    <xf numFmtId="0" fontId="6" fillId="0" borderId="22" xfId="4" applyBorder="1"/>
    <xf numFmtId="0" fontId="19" fillId="0" borderId="14" xfId="4" applyFont="1" applyBorder="1" applyAlignment="1">
      <alignment horizontal="center"/>
    </xf>
    <xf numFmtId="2" fontId="6" fillId="0" borderId="12" xfId="4" applyNumberFormat="1" applyBorder="1" applyAlignment="1">
      <alignment horizontal="center"/>
    </xf>
    <xf numFmtId="0" fontId="6" fillId="0" borderId="14" xfId="4" applyBorder="1"/>
    <xf numFmtId="0" fontId="6" fillId="0" borderId="0" xfId="4" applyAlignment="1">
      <alignment horizontal="center"/>
    </xf>
    <xf numFmtId="0" fontId="6" fillId="8" borderId="0" xfId="4" applyFill="1" applyAlignment="1">
      <alignment horizontal="center"/>
    </xf>
    <xf numFmtId="0" fontId="27" fillId="0" borderId="0" xfId="4" applyFont="1"/>
    <xf numFmtId="0" fontId="18" fillId="0" borderId="0" xfId="4" applyFont="1"/>
    <xf numFmtId="0" fontId="18" fillId="0" borderId="0" xfId="4" applyFont="1" applyAlignment="1">
      <alignment horizontal="center"/>
    </xf>
    <xf numFmtId="0" fontId="28" fillId="0" borderId="12" xfId="4" applyFont="1" applyBorder="1"/>
    <xf numFmtId="0" fontId="28" fillId="0" borderId="14" xfId="4" applyFont="1" applyBorder="1"/>
    <xf numFmtId="0" fontId="6" fillId="10" borderId="0" xfId="4" applyFill="1" applyAlignment="1">
      <alignment horizontal="center"/>
    </xf>
    <xf numFmtId="0" fontId="6" fillId="9" borderId="0" xfId="4" applyFill="1" applyAlignment="1">
      <alignment horizontal="center"/>
    </xf>
    <xf numFmtId="0" fontId="20" fillId="0" borderId="0" xfId="0" applyFont="1" applyAlignment="1">
      <alignment horizontal="center" vertical="center"/>
    </xf>
    <xf numFmtId="0" fontId="7" fillId="0" borderId="3" xfId="0" applyFont="1" applyBorder="1" applyAlignment="1">
      <alignment horizontal="left" indent="2"/>
    </xf>
    <xf numFmtId="0" fontId="7" fillId="0" borderId="4" xfId="0" applyFont="1" applyBorder="1"/>
    <xf numFmtId="0" fontId="7" fillId="0" borderId="3" xfId="0" applyFont="1" applyBorder="1" applyAlignment="1">
      <alignment horizontal="left" indent="1"/>
    </xf>
    <xf numFmtId="0" fontId="7" fillId="0" borderId="0" xfId="0" applyFont="1" applyAlignment="1">
      <alignment horizontal="center"/>
    </xf>
    <xf numFmtId="0" fontId="7" fillId="0" borderId="0" xfId="0" applyFont="1"/>
    <xf numFmtId="0" fontId="7" fillId="2" borderId="10" xfId="0" applyFont="1" applyFill="1" applyBorder="1" applyProtection="1">
      <protection locked="0"/>
    </xf>
    <xf numFmtId="2" fontId="6" fillId="0" borderId="12" xfId="4" applyNumberFormat="1" applyBorder="1"/>
    <xf numFmtId="0" fontId="6" fillId="8" borderId="0" xfId="4" applyFill="1"/>
    <xf numFmtId="0" fontId="6" fillId="10" borderId="0" xfId="4" applyFill="1"/>
    <xf numFmtId="164" fontId="0" fillId="0" borderId="12" xfId="0" applyNumberFormat="1" applyBorder="1"/>
    <xf numFmtId="0" fontId="7" fillId="0" borderId="12" xfId="0" applyFont="1" applyBorder="1"/>
    <xf numFmtId="49" fontId="7" fillId="2" borderId="10" xfId="0" applyNumberFormat="1" applyFont="1" applyFill="1" applyBorder="1" applyAlignment="1" applyProtection="1">
      <alignment horizontal="right"/>
      <protection locked="0"/>
    </xf>
    <xf numFmtId="0" fontId="0" fillId="8" borderId="1" xfId="0" applyFill="1" applyBorder="1" applyProtection="1">
      <protection locked="0"/>
    </xf>
    <xf numFmtId="164" fontId="6" fillId="19" borderId="12" xfId="4" applyNumberFormat="1" applyFill="1" applyBorder="1" applyAlignment="1">
      <alignment horizontal="center"/>
    </xf>
    <xf numFmtId="2" fontId="19" fillId="0" borderId="14" xfId="4" applyNumberFormat="1" applyFont="1" applyBorder="1"/>
    <xf numFmtId="0" fontId="7" fillId="9" borderId="0" xfId="0" applyFont="1" applyFill="1"/>
    <xf numFmtId="0" fontId="21" fillId="6" borderId="11" xfId="0" applyFont="1" applyFill="1" applyBorder="1" applyAlignment="1">
      <alignment horizontal="center" vertical="center"/>
    </xf>
    <xf numFmtId="0" fontId="20" fillId="6" borderId="6" xfId="0" applyFont="1" applyFill="1" applyBorder="1" applyAlignment="1">
      <alignment horizontal="center" vertical="center"/>
    </xf>
    <xf numFmtId="0" fontId="20" fillId="6" borderId="11" xfId="0" applyFont="1" applyFill="1" applyBorder="1" applyAlignment="1">
      <alignment horizontal="center" vertical="center"/>
    </xf>
    <xf numFmtId="1" fontId="0" fillId="8" borderId="0" xfId="0" applyNumberFormat="1" applyFill="1"/>
    <xf numFmtId="0" fontId="21" fillId="20" borderId="11" xfId="0" applyFont="1" applyFill="1" applyBorder="1" applyAlignment="1">
      <alignment horizontal="center" vertical="center"/>
    </xf>
    <xf numFmtId="0" fontId="20" fillId="20" borderId="6" xfId="0" applyFont="1" applyFill="1" applyBorder="1" applyAlignment="1">
      <alignment horizontal="center" vertical="center"/>
    </xf>
    <xf numFmtId="0" fontId="20" fillId="20" borderId="11" xfId="0" applyFont="1" applyFill="1" applyBorder="1" applyAlignment="1">
      <alignment horizontal="center" vertical="center"/>
    </xf>
    <xf numFmtId="1" fontId="0" fillId="22" borderId="0" xfId="0" applyNumberFormat="1" applyFill="1"/>
    <xf numFmtId="0" fontId="0" fillId="22" borderId="0" xfId="0" applyFill="1"/>
    <xf numFmtId="166" fontId="6" fillId="0" borderId="12" xfId="4" applyNumberFormat="1" applyBorder="1"/>
    <xf numFmtId="0" fontId="7" fillId="0" borderId="30" xfId="0" applyFont="1" applyBorder="1"/>
    <xf numFmtId="0" fontId="7" fillId="5" borderId="4" xfId="0" applyFont="1" applyFill="1" applyBorder="1" applyAlignment="1">
      <alignment horizontal="left"/>
    </xf>
    <xf numFmtId="0" fontId="7" fillId="0" borderId="12" xfId="0" applyFont="1" applyBorder="1" applyAlignment="1">
      <alignment horizontal="left"/>
    </xf>
    <xf numFmtId="0" fontId="7" fillId="13" borderId="0" xfId="0" applyFont="1" applyFill="1"/>
    <xf numFmtId="1" fontId="7" fillId="0" borderId="4" xfId="0" applyNumberFormat="1" applyFont="1" applyBorder="1" applyAlignment="1">
      <alignment horizontal="left"/>
    </xf>
    <xf numFmtId="0" fontId="7" fillId="0" borderId="3" xfId="0" applyFont="1" applyBorder="1"/>
    <xf numFmtId="0" fontId="7" fillId="14" borderId="12" xfId="0" applyFont="1" applyFill="1" applyBorder="1"/>
    <xf numFmtId="0" fontId="7" fillId="0" borderId="4" xfId="0" applyFont="1" applyBorder="1" applyAlignment="1">
      <alignment horizontal="left"/>
    </xf>
    <xf numFmtId="0" fontId="7" fillId="0" borderId="5" xfId="0" applyFont="1" applyBorder="1"/>
    <xf numFmtId="0" fontId="7" fillId="0" borderId="13" xfId="0" applyFont="1" applyBorder="1"/>
    <xf numFmtId="0" fontId="5" fillId="0" borderId="0" xfId="4" applyFont="1"/>
    <xf numFmtId="0" fontId="5" fillId="0" borderId="0" xfId="4" applyFont="1" applyAlignment="1">
      <alignment horizontal="center"/>
    </xf>
    <xf numFmtId="165" fontId="5" fillId="0" borderId="0" xfId="5" applyNumberFormat="1" applyFont="1"/>
    <xf numFmtId="0" fontId="5" fillId="0" borderId="12" xfId="4" applyFont="1" applyBorder="1" applyAlignment="1">
      <alignment horizontal="center"/>
    </xf>
    <xf numFmtId="15" fontId="5" fillId="0" borderId="12" xfId="4" applyNumberFormat="1" applyFont="1" applyBorder="1"/>
    <xf numFmtId="0" fontId="5" fillId="0" borderId="12" xfId="4" applyFont="1" applyBorder="1"/>
    <xf numFmtId="0" fontId="5" fillId="0" borderId="18" xfId="4" applyFont="1" applyBorder="1"/>
    <xf numFmtId="0" fontId="5" fillId="0" borderId="25" xfId="4" applyFont="1" applyBorder="1"/>
    <xf numFmtId="0" fontId="5" fillId="0" borderId="26" xfId="4" applyFont="1" applyBorder="1"/>
    <xf numFmtId="0" fontId="5" fillId="0" borderId="27" xfId="4" applyFont="1" applyBorder="1"/>
    <xf numFmtId="164" fontId="5" fillId="5" borderId="22" xfId="4" applyNumberFormat="1" applyFont="1" applyFill="1" applyBorder="1" applyAlignment="1">
      <alignment horizontal="center"/>
    </xf>
    <xf numFmtId="164" fontId="5" fillId="19" borderId="12" xfId="4" applyNumberFormat="1" applyFont="1" applyFill="1" applyBorder="1" applyAlignment="1">
      <alignment horizontal="center"/>
    </xf>
    <xf numFmtId="2" fontId="5" fillId="20" borderId="12" xfId="4" applyNumberFormat="1" applyFont="1" applyFill="1" applyBorder="1" applyAlignment="1">
      <alignment horizontal="center"/>
    </xf>
    <xf numFmtId="9" fontId="5" fillId="0" borderId="12" xfId="5" applyFont="1" applyBorder="1" applyAlignment="1">
      <alignment horizontal="center"/>
    </xf>
    <xf numFmtId="165" fontId="5" fillId="0" borderId="12" xfId="5" applyNumberFormat="1" applyFont="1" applyBorder="1" applyAlignment="1">
      <alignment horizontal="center"/>
    </xf>
    <xf numFmtId="0" fontId="5" fillId="0" borderId="22" xfId="4" applyFont="1" applyBorder="1"/>
    <xf numFmtId="166" fontId="5" fillId="0" borderId="12" xfId="4" applyNumberFormat="1" applyFont="1" applyBorder="1"/>
    <xf numFmtId="2" fontId="5" fillId="0" borderId="12" xfId="4" applyNumberFormat="1" applyFont="1" applyBorder="1" applyAlignment="1">
      <alignment horizontal="center"/>
    </xf>
    <xf numFmtId="0" fontId="5" fillId="0" borderId="14" xfId="4" applyFont="1" applyBorder="1"/>
    <xf numFmtId="2" fontId="5" fillId="0" borderId="12" xfId="4" applyNumberFormat="1" applyFont="1" applyBorder="1"/>
    <xf numFmtId="0" fontId="5" fillId="8" borderId="0" xfId="4" applyFont="1" applyFill="1"/>
    <xf numFmtId="0" fontId="5" fillId="10" borderId="0" xfId="4" applyFont="1" applyFill="1"/>
    <xf numFmtId="0" fontId="5" fillId="8" borderId="0" xfId="4" applyFont="1" applyFill="1" applyAlignment="1">
      <alignment horizontal="center"/>
    </xf>
    <xf numFmtId="0" fontId="5" fillId="10" borderId="0" xfId="4" applyFont="1" applyFill="1" applyAlignment="1">
      <alignment horizontal="center"/>
    </xf>
    <xf numFmtId="0" fontId="5" fillId="9" borderId="0" xfId="4" applyFont="1" applyFill="1" applyAlignment="1">
      <alignment horizontal="center"/>
    </xf>
    <xf numFmtId="0" fontId="19" fillId="0" borderId="12" xfId="4" applyFont="1" applyBorder="1" applyAlignment="1">
      <alignment horizontal="left"/>
    </xf>
    <xf numFmtId="0" fontId="20" fillId="0" borderId="17" xfId="0" applyFont="1" applyBorder="1" applyAlignment="1">
      <alignment horizontal="center" vertical="center"/>
    </xf>
    <xf numFmtId="0" fontId="19" fillId="0" borderId="12" xfId="4" applyFont="1" applyBorder="1" applyAlignment="1">
      <alignment horizontal="center"/>
    </xf>
    <xf numFmtId="165" fontId="5" fillId="0" borderId="0" xfId="5" applyNumberFormat="1" applyFont="1" applyBorder="1" applyAlignment="1"/>
    <xf numFmtId="0" fontId="7" fillId="0" borderId="30" xfId="0" applyFont="1" applyFill="1" applyBorder="1"/>
    <xf numFmtId="0" fontId="4" fillId="0" borderId="27" xfId="4" applyFont="1" applyBorder="1"/>
    <xf numFmtId="0" fontId="4" fillId="0" borderId="0" xfId="4" applyFont="1"/>
    <xf numFmtId="9" fontId="6" fillId="0" borderId="12" xfId="3" applyFont="1" applyBorder="1"/>
    <xf numFmtId="0" fontId="4" fillId="0" borderId="26" xfId="4" applyFont="1" applyBorder="1"/>
    <xf numFmtId="0" fontId="31" fillId="0" borderId="0" xfId="7"/>
    <xf numFmtId="0" fontId="30" fillId="23" borderId="32" xfId="6"/>
    <xf numFmtId="0" fontId="7" fillId="0" borderId="0" xfId="0" applyFont="1" applyAlignment="1">
      <alignment textRotation="45"/>
    </xf>
    <xf numFmtId="0" fontId="0" fillId="0" borderId="0" xfId="0" applyAlignment="1">
      <alignment textRotation="45"/>
    </xf>
    <xf numFmtId="0" fontId="31" fillId="5" borderId="32" xfId="7" applyFill="1" applyBorder="1"/>
    <xf numFmtId="0" fontId="0" fillId="0" borderId="0" xfId="0" applyAlignment="1">
      <alignment horizontal="center"/>
    </xf>
    <xf numFmtId="0" fontId="0" fillId="0" borderId="12" xfId="0" quotePrefix="1" applyBorder="1"/>
    <xf numFmtId="0" fontId="7" fillId="0" borderId="12" xfId="0" quotePrefix="1" applyFont="1" applyBorder="1"/>
    <xf numFmtId="0" fontId="7" fillId="0" borderId="12" xfId="0" applyFont="1" applyFill="1" applyBorder="1"/>
    <xf numFmtId="166" fontId="0" fillId="0" borderId="12" xfId="0" applyNumberFormat="1" applyBorder="1"/>
    <xf numFmtId="11" fontId="0" fillId="0" borderId="0" xfId="0" applyNumberFormat="1"/>
    <xf numFmtId="11" fontId="0" fillId="0" borderId="12" xfId="0" applyNumberFormat="1" applyBorder="1"/>
    <xf numFmtId="0" fontId="0" fillId="8" borderId="12" xfId="0" applyFill="1" applyBorder="1"/>
    <xf numFmtId="0" fontId="0" fillId="0" borderId="30" xfId="0" applyFill="1" applyBorder="1"/>
    <xf numFmtId="0" fontId="0" fillId="8" borderId="12" xfId="0" applyFont="1" applyFill="1" applyBorder="1" applyAlignment="1">
      <alignment horizontal="right"/>
    </xf>
    <xf numFmtId="0" fontId="0" fillId="24" borderId="12" xfId="0" applyFill="1" applyBorder="1" applyAlignment="1">
      <alignment horizontal="right"/>
    </xf>
    <xf numFmtId="2" fontId="0" fillId="7" borderId="1" xfId="0" applyNumberFormat="1" applyFill="1" applyBorder="1" applyAlignment="1">
      <alignment horizontal="center"/>
    </xf>
    <xf numFmtId="0" fontId="0" fillId="0" borderId="12" xfId="0" applyFont="1" applyFill="1" applyBorder="1" applyAlignment="1">
      <alignment horizontal="center"/>
    </xf>
    <xf numFmtId="0" fontId="0" fillId="6" borderId="12" xfId="0" applyFill="1" applyBorder="1"/>
    <xf numFmtId="11" fontId="0" fillId="6" borderId="12" xfId="0" applyNumberFormat="1" applyFill="1" applyBorder="1"/>
    <xf numFmtId="2" fontId="0" fillId="6" borderId="12" xfId="0" applyNumberFormat="1" applyFill="1" applyBorder="1"/>
    <xf numFmtId="0" fontId="0" fillId="6" borderId="0" xfId="0" applyFill="1"/>
    <xf numFmtId="1" fontId="0" fillId="21" borderId="1" xfId="0" applyNumberFormat="1" applyFill="1" applyBorder="1"/>
    <xf numFmtId="2" fontId="0" fillId="21" borderId="1" xfId="0" applyNumberFormat="1" applyFill="1" applyBorder="1"/>
    <xf numFmtId="2" fontId="0" fillId="21" borderId="1" xfId="0" applyNumberFormat="1" applyFill="1" applyBorder="1" applyProtection="1">
      <protection hidden="1"/>
    </xf>
    <xf numFmtId="9" fontId="0" fillId="21" borderId="1" xfId="3" applyFont="1" applyFill="1" applyBorder="1" applyProtection="1"/>
    <xf numFmtId="164" fontId="0" fillId="21" borderId="11" xfId="0" applyNumberFormat="1" applyFill="1" applyBorder="1"/>
    <xf numFmtId="0" fontId="0" fillId="21" borderId="1" xfId="0" applyFill="1" applyBorder="1" applyAlignment="1">
      <alignment horizontal="center"/>
    </xf>
    <xf numFmtId="0" fontId="34" fillId="0" borderId="0" xfId="0" applyFont="1"/>
    <xf numFmtId="0" fontId="11" fillId="5" borderId="0" xfId="0" applyFont="1" applyFill="1"/>
    <xf numFmtId="0" fontId="0" fillId="0" borderId="0" xfId="0" applyBorder="1"/>
    <xf numFmtId="0" fontId="7" fillId="0" borderId="3" xfId="0" applyFont="1" applyBorder="1" applyAlignment="1">
      <alignment horizontal="left"/>
    </xf>
    <xf numFmtId="0" fontId="0" fillId="8" borderId="1" xfId="0" applyFill="1" applyBorder="1" applyAlignment="1" applyProtection="1">
      <alignment horizontal="right"/>
      <protection locked="0"/>
    </xf>
    <xf numFmtId="0" fontId="7" fillId="0" borderId="19" xfId="0" applyFont="1" applyBorder="1"/>
    <xf numFmtId="0" fontId="0" fillId="0" borderId="19" xfId="0" applyBorder="1"/>
    <xf numFmtId="0" fontId="0" fillId="24" borderId="12" xfId="0" applyFill="1" applyBorder="1" applyProtection="1">
      <protection locked="0"/>
    </xf>
    <xf numFmtId="1" fontId="0" fillId="8" borderId="1" xfId="0" applyNumberFormat="1" applyFill="1" applyBorder="1" applyAlignment="1" applyProtection="1">
      <alignment horizontal="right"/>
      <protection locked="0"/>
    </xf>
    <xf numFmtId="0" fontId="0" fillId="5" borderId="0" xfId="0" applyFill="1" applyBorder="1" applyAlignment="1">
      <alignment horizontal="left"/>
    </xf>
    <xf numFmtId="0" fontId="7" fillId="5" borderId="4" xfId="0" applyFont="1" applyFill="1" applyBorder="1"/>
    <xf numFmtId="164" fontId="0" fillId="0" borderId="0" xfId="0" applyNumberFormat="1" applyBorder="1"/>
    <xf numFmtId="0" fontId="7" fillId="5" borderId="6" xfId="0" applyFont="1" applyFill="1" applyBorder="1" applyAlignment="1">
      <alignment horizontal="left"/>
    </xf>
    <xf numFmtId="0" fontId="7" fillId="5" borderId="0" xfId="0" applyFont="1" applyFill="1" applyBorder="1" applyAlignment="1">
      <alignment horizontal="left"/>
    </xf>
    <xf numFmtId="0" fontId="19" fillId="0" borderId="12" xfId="4" applyFont="1" applyBorder="1" applyAlignment="1">
      <alignment horizontal="center"/>
    </xf>
    <xf numFmtId="0" fontId="7" fillId="0" borderId="0" xfId="0" applyFont="1" applyBorder="1"/>
    <xf numFmtId="0" fontId="0" fillId="0" borderId="0" xfId="0" applyBorder="1" applyProtection="1">
      <protection locked="0"/>
    </xf>
    <xf numFmtId="1" fontId="0" fillId="5" borderId="8" xfId="0" applyNumberFormat="1" applyFill="1" applyBorder="1" applyAlignment="1" applyProtection="1">
      <alignment horizontal="right"/>
      <protection locked="0"/>
    </xf>
    <xf numFmtId="164" fontId="0" fillId="0" borderId="8" xfId="0" applyNumberFormat="1" applyBorder="1"/>
    <xf numFmtId="0" fontId="10" fillId="8" borderId="1" xfId="0" applyFont="1" applyFill="1" applyBorder="1" applyAlignment="1">
      <alignment horizontal="center"/>
    </xf>
    <xf numFmtId="2" fontId="0" fillId="0" borderId="0" xfId="0" applyNumberFormat="1" applyBorder="1" applyProtection="1">
      <protection hidden="1"/>
    </xf>
    <xf numFmtId="2" fontId="0" fillId="0" borderId="0" xfId="0" applyNumberFormat="1" applyBorder="1"/>
    <xf numFmtId="1" fontId="0" fillId="0" borderId="0" xfId="0" applyNumberFormat="1" applyBorder="1"/>
    <xf numFmtId="0" fontId="0" fillId="0" borderId="9" xfId="0" applyBorder="1"/>
    <xf numFmtId="0" fontId="7" fillId="0" borderId="6" xfId="0" applyFont="1" applyBorder="1"/>
    <xf numFmtId="164" fontId="0" fillId="6" borderId="1" xfId="0" applyNumberFormat="1" applyFill="1" applyBorder="1" applyAlignment="1" applyProtection="1">
      <alignment horizontal="right"/>
    </xf>
    <xf numFmtId="164" fontId="0" fillId="21" borderId="1" xfId="0" applyNumberFormat="1" applyFill="1" applyBorder="1"/>
    <xf numFmtId="9" fontId="0" fillId="6" borderId="1" xfId="3" applyNumberFormat="1" applyFont="1" applyFill="1" applyBorder="1" applyAlignment="1" applyProtection="1">
      <alignment horizontal="right"/>
    </xf>
    <xf numFmtId="0" fontId="3" fillId="0" borderId="12" xfId="4" applyFont="1" applyBorder="1"/>
    <xf numFmtId="164" fontId="0" fillId="21" borderId="1" xfId="0" applyNumberFormat="1" applyFill="1" applyBorder="1" applyAlignment="1">
      <alignment horizontal="center"/>
    </xf>
    <xf numFmtId="164" fontId="0" fillId="15" borderId="1" xfId="0" applyNumberFormat="1" applyFill="1" applyBorder="1" applyAlignment="1">
      <alignment horizontal="center"/>
    </xf>
    <xf numFmtId="0" fontId="7" fillId="0" borderId="2" xfId="0" applyFont="1" applyFill="1" applyBorder="1" applyAlignment="1">
      <alignment horizontal="left"/>
    </xf>
    <xf numFmtId="0" fontId="7" fillId="0" borderId="4" xfId="0" applyFont="1" applyFill="1" applyBorder="1" applyAlignment="1">
      <alignment horizontal="left"/>
    </xf>
    <xf numFmtId="0" fontId="0" fillId="5" borderId="0" xfId="0" applyFill="1" applyBorder="1"/>
    <xf numFmtId="164" fontId="0" fillId="5" borderId="0" xfId="0" applyNumberFormat="1" applyFill="1" applyBorder="1"/>
    <xf numFmtId="164" fontId="0" fillId="5" borderId="9" xfId="0" applyNumberFormat="1" applyFill="1" applyBorder="1"/>
    <xf numFmtId="167" fontId="2" fillId="5" borderId="22" xfId="4" applyNumberFormat="1" applyFont="1" applyFill="1" applyBorder="1" applyAlignment="1">
      <alignment horizontal="center"/>
    </xf>
    <xf numFmtId="0" fontId="2" fillId="25" borderId="0" xfId="4" applyFont="1" applyFill="1"/>
    <xf numFmtId="0" fontId="6" fillId="25" borderId="0" xfId="4" applyFill="1"/>
    <xf numFmtId="0" fontId="19" fillId="25" borderId="0" xfId="4" applyFont="1" applyFill="1" applyAlignment="1">
      <alignment horizontal="center"/>
    </xf>
    <xf numFmtId="0" fontId="19" fillId="25" borderId="12" xfId="4" applyFont="1" applyFill="1" applyBorder="1" applyAlignment="1">
      <alignment horizontal="center"/>
    </xf>
    <xf numFmtId="165" fontId="5" fillId="25" borderId="0" xfId="5" applyNumberFormat="1" applyFont="1" applyFill="1" applyBorder="1" applyAlignment="1"/>
    <xf numFmtId="0" fontId="6" fillId="25" borderId="12" xfId="4" applyFill="1" applyBorder="1"/>
    <xf numFmtId="0" fontId="19" fillId="25" borderId="0" xfId="4" applyFont="1" applyFill="1" applyAlignment="1">
      <alignment horizontal="left"/>
    </xf>
    <xf numFmtId="0" fontId="14" fillId="6" borderId="3" xfId="0" applyFont="1" applyFill="1" applyBorder="1" applyAlignment="1">
      <alignment horizontal="left"/>
    </xf>
    <xf numFmtId="0" fontId="14" fillId="6" borderId="4" xfId="0" applyFont="1" applyFill="1" applyBorder="1" applyAlignment="1">
      <alignment horizontal="left"/>
    </xf>
    <xf numFmtId="0" fontId="19" fillId="0" borderId="12" xfId="4" applyFont="1" applyBorder="1" applyAlignment="1">
      <alignment horizontal="center"/>
    </xf>
    <xf numFmtId="0" fontId="0" fillId="11" borderId="0" xfId="0" applyFill="1"/>
    <xf numFmtId="0" fontId="10" fillId="6" borderId="1" xfId="0" applyFont="1" applyFill="1" applyBorder="1"/>
    <xf numFmtId="9" fontId="0" fillId="6" borderId="10" xfId="3" applyFont="1" applyFill="1" applyBorder="1" applyAlignment="1" applyProtection="1">
      <alignment horizontal="right"/>
    </xf>
    <xf numFmtId="0" fontId="14" fillId="6" borderId="0" xfId="0" applyFont="1" applyFill="1" applyBorder="1" applyAlignment="1">
      <alignment horizontal="left"/>
    </xf>
    <xf numFmtId="0" fontId="0" fillId="3" borderId="0" xfId="0" applyFill="1" applyBorder="1"/>
    <xf numFmtId="0" fontId="0" fillId="11" borderId="0" xfId="0" applyFill="1" applyBorder="1"/>
    <xf numFmtId="0" fontId="7" fillId="11" borderId="0" xfId="0" applyFont="1" applyFill="1" applyBorder="1"/>
    <xf numFmtId="0" fontId="0" fillId="5" borderId="12" xfId="0" applyFill="1" applyBorder="1"/>
    <xf numFmtId="0" fontId="7" fillId="5" borderId="0" xfId="0" applyFont="1" applyFill="1" applyBorder="1"/>
    <xf numFmtId="0" fontId="7" fillId="0" borderId="0" xfId="0" applyFont="1" applyBorder="1" applyAlignment="1">
      <alignment horizontal="left" indent="1"/>
    </xf>
    <xf numFmtId="0" fontId="0" fillId="0" borderId="0" xfId="0" applyBorder="1" applyAlignment="1">
      <alignment horizontal="center"/>
    </xf>
    <xf numFmtId="0" fontId="0" fillId="0" borderId="0" xfId="0" applyBorder="1" applyAlignment="1">
      <alignment horizontal="left" indent="2"/>
    </xf>
    <xf numFmtId="0" fontId="7" fillId="0" borderId="0" xfId="0" applyFont="1" applyBorder="1" applyAlignment="1">
      <alignment horizontal="left" indent="2"/>
    </xf>
    <xf numFmtId="1" fontId="7" fillId="0" borderId="0" xfId="0" applyNumberFormat="1" applyFont="1" applyBorder="1" applyAlignment="1">
      <alignment horizontal="left"/>
    </xf>
    <xf numFmtId="0" fontId="0" fillId="8" borderId="0" xfId="0" applyFill="1" applyBorder="1"/>
    <xf numFmtId="0" fontId="7" fillId="8" borderId="0" xfId="0" applyFont="1" applyFill="1" applyBorder="1"/>
    <xf numFmtId="0" fontId="1" fillId="0" borderId="12" xfId="4" applyFont="1" applyBorder="1"/>
    <xf numFmtId="2" fontId="6" fillId="0" borderId="0" xfId="4" applyNumberFormat="1"/>
    <xf numFmtId="0" fontId="1" fillId="0" borderId="0" xfId="3" quotePrefix="1" applyNumberFormat="1" applyFont="1"/>
    <xf numFmtId="0" fontId="6" fillId="0" borderId="0" xfId="3" applyNumberFormat="1" applyFont="1"/>
    <xf numFmtId="2" fontId="6" fillId="0" borderId="0" xfId="3" applyNumberFormat="1" applyFont="1"/>
    <xf numFmtId="0" fontId="1" fillId="0" borderId="0" xfId="4" applyFont="1"/>
    <xf numFmtId="165" fontId="1" fillId="0" borderId="0" xfId="5" applyNumberFormat="1" applyFont="1"/>
    <xf numFmtId="0" fontId="7" fillId="21" borderId="15" xfId="0" applyFont="1" applyFill="1" applyBorder="1" applyAlignment="1">
      <alignment horizontal="center"/>
    </xf>
    <xf numFmtId="0" fontId="7" fillId="21" borderId="17" xfId="0" applyFont="1" applyFill="1" applyBorder="1" applyAlignment="1">
      <alignment horizontal="center"/>
    </xf>
    <xf numFmtId="0" fontId="14" fillId="6" borderId="3" xfId="0" applyFont="1" applyFill="1" applyBorder="1" applyAlignment="1">
      <alignment horizontal="left"/>
    </xf>
    <xf numFmtId="0" fontId="14" fillId="6" borderId="0" xfId="0" applyFont="1" applyFill="1" applyBorder="1" applyAlignment="1">
      <alignment horizontal="left"/>
    </xf>
    <xf numFmtId="0" fontId="14" fillId="6" borderId="4" xfId="0" applyFont="1" applyFill="1" applyBorder="1" applyAlignment="1">
      <alignment horizontal="left"/>
    </xf>
    <xf numFmtId="0" fontId="14" fillId="6" borderId="5" xfId="0" applyFont="1" applyFill="1" applyBorder="1" applyAlignment="1">
      <alignment horizontal="left"/>
    </xf>
    <xf numFmtId="0" fontId="14" fillId="6" borderId="9" xfId="0" applyFont="1" applyFill="1" applyBorder="1" applyAlignment="1">
      <alignment horizontal="left"/>
    </xf>
    <xf numFmtId="0" fontId="14" fillId="6" borderId="6" xfId="0" applyFont="1" applyFill="1" applyBorder="1" applyAlignment="1">
      <alignment horizontal="left"/>
    </xf>
    <xf numFmtId="0" fontId="0" fillId="8" borderId="15" xfId="0" applyFill="1" applyBorder="1" applyAlignment="1" applyProtection="1">
      <alignment horizontal="center"/>
      <protection locked="0"/>
    </xf>
    <xf numFmtId="0" fontId="0" fillId="8" borderId="17" xfId="0" applyFill="1" applyBorder="1" applyAlignment="1" applyProtection="1">
      <alignment horizontal="center"/>
      <protection locked="0"/>
    </xf>
    <xf numFmtId="0" fontId="7" fillId="8" borderId="15" xfId="0" applyFont="1" applyFill="1" applyBorder="1" applyAlignment="1" applyProtection="1">
      <alignment horizontal="center"/>
      <protection locked="0"/>
    </xf>
    <xf numFmtId="0" fontId="7" fillId="8" borderId="16" xfId="0" applyFont="1" applyFill="1" applyBorder="1" applyAlignment="1" applyProtection="1">
      <alignment horizontal="center"/>
      <protection locked="0"/>
    </xf>
    <xf numFmtId="0" fontId="7" fillId="8" borderId="17" xfId="0" applyFont="1" applyFill="1" applyBorder="1" applyAlignment="1" applyProtection="1">
      <alignment horizontal="center"/>
      <protection locked="0"/>
    </xf>
    <xf numFmtId="0" fontId="33" fillId="8" borderId="15" xfId="0" applyFont="1" applyFill="1" applyBorder="1" applyAlignment="1" applyProtection="1">
      <alignment horizontal="center"/>
      <protection locked="0"/>
    </xf>
    <xf numFmtId="0" fontId="33" fillId="8" borderId="17" xfId="0" applyFont="1" applyFill="1" applyBorder="1" applyAlignment="1" applyProtection="1">
      <alignment horizontal="center"/>
      <protection locked="0"/>
    </xf>
    <xf numFmtId="0" fontId="32" fillId="0" borderId="33" xfId="0" applyFont="1" applyBorder="1" applyAlignment="1">
      <alignment horizontal="left" vertical="center"/>
    </xf>
    <xf numFmtId="0" fontId="32" fillId="0" borderId="11" xfId="0" applyFont="1" applyBorder="1" applyAlignment="1">
      <alignment horizontal="left" vertical="center"/>
    </xf>
    <xf numFmtId="0" fontId="7" fillId="8" borderId="9" xfId="0" applyFont="1" applyFill="1" applyBorder="1" applyAlignment="1" applyProtection="1">
      <alignment horizontal="center"/>
      <protection locked="0"/>
    </xf>
    <xf numFmtId="0" fontId="7" fillId="8" borderId="6" xfId="0" applyFont="1" applyFill="1" applyBorder="1" applyAlignment="1" applyProtection="1">
      <alignment horizontal="center"/>
      <protection locked="0"/>
    </xf>
    <xf numFmtId="0" fontId="14" fillId="6" borderId="7" xfId="0" applyFont="1" applyFill="1" applyBorder="1" applyAlignment="1">
      <alignment horizontal="left"/>
    </xf>
    <xf numFmtId="0" fontId="14" fillId="6" borderId="8" xfId="0" applyFont="1" applyFill="1" applyBorder="1" applyAlignment="1">
      <alignment horizontal="left"/>
    </xf>
    <xf numFmtId="0" fontId="14" fillId="6" borderId="2" xfId="0" applyFont="1" applyFill="1" applyBorder="1" applyAlignment="1">
      <alignment horizontal="left"/>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0" fillId="0" borderId="22" xfId="0" applyBorder="1" applyAlignment="1">
      <alignment horizontal="center"/>
    </xf>
    <xf numFmtId="0" fontId="0" fillId="0" borderId="19" xfId="0" applyBorder="1" applyAlignment="1">
      <alignment horizontal="center"/>
    </xf>
    <xf numFmtId="0" fontId="7" fillId="14" borderId="12" xfId="0" applyFont="1" applyFill="1" applyBorder="1" applyAlignment="1">
      <alignment horizontal="center"/>
    </xf>
    <xf numFmtId="0" fontId="0" fillId="14" borderId="12" xfId="0" applyFill="1" applyBorder="1" applyAlignment="1">
      <alignment horizontal="center"/>
    </xf>
    <xf numFmtId="0" fontId="7" fillId="12" borderId="12" xfId="0" applyFont="1" applyFill="1" applyBorder="1" applyAlignment="1">
      <alignment horizontal="center"/>
    </xf>
    <xf numFmtId="0" fontId="0" fillId="12" borderId="12" xfId="0" applyFill="1" applyBorder="1" applyAlignment="1">
      <alignment horizontal="center"/>
    </xf>
    <xf numFmtId="0" fontId="19" fillId="0" borderId="31" xfId="4" applyFont="1" applyBorder="1" applyAlignment="1">
      <alignment horizontal="center"/>
    </xf>
    <xf numFmtId="0" fontId="19" fillId="0" borderId="23" xfId="4" applyFont="1" applyBorder="1" applyAlignment="1">
      <alignment horizontal="center"/>
    </xf>
    <xf numFmtId="0" fontId="19" fillId="0" borderId="19" xfId="4" applyFont="1" applyBorder="1" applyAlignment="1">
      <alignment horizontal="center"/>
    </xf>
    <xf numFmtId="0" fontId="19" fillId="0" borderId="12" xfId="4" applyFont="1" applyBorder="1" applyAlignment="1">
      <alignment horizontal="center"/>
    </xf>
    <xf numFmtId="0" fontId="19" fillId="0" borderId="8" xfId="4" applyFont="1" applyBorder="1" applyAlignment="1">
      <alignment horizontal="center"/>
    </xf>
    <xf numFmtId="0" fontId="6" fillId="0" borderId="8" xfId="4" applyBorder="1" applyAlignment="1">
      <alignment horizontal="center"/>
    </xf>
    <xf numFmtId="0" fontId="5" fillId="0" borderId="8" xfId="4" applyFont="1" applyBorder="1" applyAlignment="1">
      <alignment horizontal="center"/>
    </xf>
  </cellXfs>
  <cellStyles count="8">
    <cellStyle name="Explanatory Text" xfId="7" builtinId="53"/>
    <cellStyle name="Followed Hyperlink" xfId="1" builtinId="9"/>
    <cellStyle name="Hyperlink" xfId="2" builtinId="8"/>
    <cellStyle name="Input" xfId="6" builtinId="20"/>
    <cellStyle name="Normal" xfId="0" builtinId="0"/>
    <cellStyle name="Normal 2" xfId="4" xr:uid="{00000000-0005-0000-0000-000003000000}"/>
    <cellStyle name="Percent" xfId="3" builtinId="5"/>
    <cellStyle name="Percent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comet</a:t>
            </a:r>
            <a:r>
              <a:rPr lang="en-US" baseline="0"/>
              <a:t> 100 pump curve model</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'CalData-FUS'!$T$30:$T$31</c:f>
              <c:numCache>
                <c:formatCode>General</c:formatCode>
                <c:ptCount val="2"/>
                <c:pt idx="0">
                  <c:v>0</c:v>
                </c:pt>
                <c:pt idx="1">
                  <c:v>1000</c:v>
                </c:pt>
              </c:numCache>
            </c:numRef>
          </c:xVal>
          <c:yVal>
            <c:numRef>
              <c:f>'CalData-FUS'!$U$30:$U$31</c:f>
              <c:numCache>
                <c:formatCode>General</c:formatCode>
                <c:ptCount val="2"/>
                <c:pt idx="0">
                  <c:v>1980</c:v>
                </c:pt>
                <c:pt idx="1">
                  <c:v>1304.2</c:v>
                </c:pt>
              </c:numCache>
            </c:numRef>
          </c:yVal>
          <c:smooth val="0"/>
          <c:extLst>
            <c:ext xmlns:c16="http://schemas.microsoft.com/office/drawing/2014/chart" uri="{C3380CC4-5D6E-409C-BE32-E72D297353CC}">
              <c16:uniqueId val="{00000000-8ED3-41BF-8263-4303C9A521C6}"/>
            </c:ext>
          </c:extLst>
        </c:ser>
        <c:dLbls>
          <c:dLblPos val="t"/>
          <c:showLegendKey val="0"/>
          <c:showVal val="1"/>
          <c:showCatName val="0"/>
          <c:showSerName val="0"/>
          <c:showPercent val="0"/>
          <c:showBubbleSize val="0"/>
        </c:dLbls>
        <c:axId val="759182888"/>
        <c:axId val="759181904"/>
      </c:scatterChart>
      <c:valAx>
        <c:axId val="75918288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pressure (psi)</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181904"/>
        <c:crosses val="autoZero"/>
        <c:crossBetween val="midCat"/>
      </c:valAx>
      <c:valAx>
        <c:axId val="759181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 (l/d)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18288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flow vs watts at 100 rpm</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'DH -COMET_100'!$O$77</c:f>
              <c:strCache>
                <c:ptCount val="1"/>
                <c:pt idx="0">
                  <c:v>flow</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'DH -COMET_100'!$N$78:$N$83</c:f>
              <c:numCache>
                <c:formatCode>General</c:formatCode>
                <c:ptCount val="6"/>
                <c:pt idx="0">
                  <c:v>5.9350000000000005</c:v>
                </c:pt>
                <c:pt idx="1">
                  <c:v>9.3000000000000007</c:v>
                </c:pt>
                <c:pt idx="2">
                  <c:v>11.64</c:v>
                </c:pt>
                <c:pt idx="3">
                  <c:v>13.56</c:v>
                </c:pt>
                <c:pt idx="4">
                  <c:v>17.489999999999998</c:v>
                </c:pt>
                <c:pt idx="5">
                  <c:v>23.4</c:v>
                </c:pt>
              </c:numCache>
            </c:numRef>
          </c:xVal>
          <c:yVal>
            <c:numRef>
              <c:f>'DH -COMET_100'!$O$78:$O$83</c:f>
              <c:numCache>
                <c:formatCode>0.00</c:formatCode>
                <c:ptCount val="6"/>
                <c:pt idx="0">
                  <c:v>161.7686708007549</c:v>
                </c:pt>
                <c:pt idx="1">
                  <c:v>141.27619496114903</c:v>
                </c:pt>
                <c:pt idx="2">
                  <c:v>132.56738842244806</c:v>
                </c:pt>
                <c:pt idx="3">
                  <c:v>121.23661345726408</c:v>
                </c:pt>
                <c:pt idx="4">
                  <c:v>111.66945840312674</c:v>
                </c:pt>
                <c:pt idx="5">
                  <c:v>98.360655737704917</c:v>
                </c:pt>
              </c:numCache>
            </c:numRef>
          </c:yVal>
          <c:smooth val="0"/>
          <c:extLst>
            <c:ext xmlns:c16="http://schemas.microsoft.com/office/drawing/2014/chart" uri="{C3380CC4-5D6E-409C-BE32-E72D297353CC}">
              <c16:uniqueId val="{00000000-2DC9-485F-B3C5-CC5D90085536}"/>
            </c:ext>
          </c:extLst>
        </c:ser>
        <c:dLbls>
          <c:showLegendKey val="0"/>
          <c:showVal val="0"/>
          <c:showCatName val="0"/>
          <c:showSerName val="0"/>
          <c:showPercent val="0"/>
          <c:showBubbleSize val="0"/>
        </c:dLbls>
        <c:axId val="741472816"/>
        <c:axId val="741477408"/>
      </c:scatterChart>
      <c:valAx>
        <c:axId val="7414728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477408"/>
        <c:crosses val="autoZero"/>
        <c:crossBetween val="midCat"/>
      </c:valAx>
      <c:valAx>
        <c:axId val="74147740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4728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flow</a:t>
            </a:r>
            <a:r>
              <a:rPr lang="en-US" baseline="0"/>
              <a:t>  vs watts at 200 rpm</a:t>
            </a:r>
          </a:p>
        </c:rich>
      </c:tx>
      <c:layout>
        <c:manualLayout>
          <c:xMode val="edge"/>
          <c:yMode val="edge"/>
          <c:x val="0.45163188976377955"/>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'DH -COMET_100'!$Q$77</c:f>
              <c:strCache>
                <c:ptCount val="1"/>
                <c:pt idx="0">
                  <c:v>flow</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'DH -COMET_100'!$P$78:$P$83</c:f>
              <c:numCache>
                <c:formatCode>General</c:formatCode>
                <c:ptCount val="6"/>
                <c:pt idx="0">
                  <c:v>12.07</c:v>
                </c:pt>
                <c:pt idx="1">
                  <c:v>18.465</c:v>
                </c:pt>
                <c:pt idx="2">
                  <c:v>23.19</c:v>
                </c:pt>
                <c:pt idx="3">
                  <c:v>28.635000000000002</c:v>
                </c:pt>
                <c:pt idx="4">
                  <c:v>36</c:v>
                </c:pt>
                <c:pt idx="5">
                  <c:v>46.11</c:v>
                </c:pt>
              </c:numCache>
            </c:numRef>
          </c:xVal>
          <c:yVal>
            <c:numRef>
              <c:f>'DH -COMET_100'!$Q$78:$Q$83</c:f>
              <c:numCache>
                <c:formatCode>0.00</c:formatCode>
                <c:ptCount val="6"/>
                <c:pt idx="0">
                  <c:v>335.4579000335458</c:v>
                </c:pt>
                <c:pt idx="1">
                  <c:v>289.85507246376812</c:v>
                </c:pt>
                <c:pt idx="2">
                  <c:v>270.27027027027026</c:v>
                </c:pt>
                <c:pt idx="3">
                  <c:v>244.76808224207565</c:v>
                </c:pt>
                <c:pt idx="4">
                  <c:v>222.2222222222222</c:v>
                </c:pt>
                <c:pt idx="5">
                  <c:v>194.70404984423675</c:v>
                </c:pt>
              </c:numCache>
            </c:numRef>
          </c:yVal>
          <c:smooth val="0"/>
          <c:extLst>
            <c:ext xmlns:c16="http://schemas.microsoft.com/office/drawing/2014/chart" uri="{C3380CC4-5D6E-409C-BE32-E72D297353CC}">
              <c16:uniqueId val="{00000000-3F38-4E53-9641-9CA4EC5A1DA1}"/>
            </c:ext>
          </c:extLst>
        </c:ser>
        <c:dLbls>
          <c:showLegendKey val="0"/>
          <c:showVal val="0"/>
          <c:showCatName val="0"/>
          <c:showSerName val="0"/>
          <c:showPercent val="0"/>
          <c:showBubbleSize val="0"/>
        </c:dLbls>
        <c:axId val="755753976"/>
        <c:axId val="755756600"/>
      </c:scatterChart>
      <c:valAx>
        <c:axId val="7557539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5756600"/>
        <c:crosses val="autoZero"/>
        <c:crossBetween val="midCat"/>
      </c:valAx>
      <c:valAx>
        <c:axId val="7557566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575397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rate vs rpm at 1000 psi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'DH -COMET_100'!$K$104:$P$104</c:f>
              <c:numCache>
                <c:formatCode>0.00</c:formatCode>
                <c:ptCount val="6"/>
                <c:pt idx="0">
                  <c:v>98.360655737704917</c:v>
                </c:pt>
                <c:pt idx="1">
                  <c:v>194.70404984423675</c:v>
                </c:pt>
                <c:pt idx="2">
                  <c:v>437.47721472839959</c:v>
                </c:pt>
                <c:pt idx="3">
                  <c:v>719.56825904457321</c:v>
                </c:pt>
                <c:pt idx="4">
                  <c:v>1024.5265445513814</c:v>
                </c:pt>
                <c:pt idx="5">
                  <c:v>1315.9698423577793</c:v>
                </c:pt>
              </c:numCache>
            </c:numRef>
          </c:xVal>
          <c:yVal>
            <c:numRef>
              <c:f>'DH -COMET_100'!$K$105:$P$105</c:f>
              <c:numCache>
                <c:formatCode>0.00</c:formatCode>
                <c:ptCount val="6"/>
                <c:pt idx="0">
                  <c:v>100</c:v>
                </c:pt>
                <c:pt idx="1">
                  <c:v>200</c:v>
                </c:pt>
                <c:pt idx="2">
                  <c:v>400</c:v>
                </c:pt>
                <c:pt idx="3">
                  <c:v>600</c:v>
                </c:pt>
                <c:pt idx="4">
                  <c:v>800</c:v>
                </c:pt>
                <c:pt idx="5">
                  <c:v>1000</c:v>
                </c:pt>
              </c:numCache>
            </c:numRef>
          </c:yVal>
          <c:smooth val="0"/>
          <c:extLst>
            <c:ext xmlns:c16="http://schemas.microsoft.com/office/drawing/2014/chart" uri="{C3380CC4-5D6E-409C-BE32-E72D297353CC}">
              <c16:uniqueId val="{00000000-6F25-412D-8E9C-6C704850B0F7}"/>
            </c:ext>
          </c:extLst>
        </c:ser>
        <c:dLbls>
          <c:showLegendKey val="0"/>
          <c:showVal val="0"/>
          <c:showCatName val="0"/>
          <c:showSerName val="0"/>
          <c:showPercent val="0"/>
          <c:showBubbleSize val="0"/>
        </c:dLbls>
        <c:axId val="750702216"/>
        <c:axId val="750707792"/>
      </c:scatterChart>
      <c:valAx>
        <c:axId val="750702216"/>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0707792"/>
        <c:crosses val="autoZero"/>
        <c:crossBetween val="midCat"/>
      </c:valAx>
      <c:valAx>
        <c:axId val="750707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07022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DH - Comet 100 pump</a:t>
            </a:r>
          </a:p>
          <a:p>
            <a:pPr>
              <a:defRPr/>
            </a:pPr>
            <a:r>
              <a:rPr lang="en-CA"/>
              <a:t>Watts versus</a:t>
            </a:r>
            <a:r>
              <a:rPr lang="en-CA" baseline="0"/>
              <a:t> Pressure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100 RPM EQUIVALENT</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'DH -COMET_100'!$A$11:$A$16</c:f>
              <c:numCache>
                <c:formatCode>General</c:formatCode>
                <c:ptCount val="6"/>
                <c:pt idx="0">
                  <c:v>0</c:v>
                </c:pt>
                <c:pt idx="1">
                  <c:v>100</c:v>
                </c:pt>
                <c:pt idx="2">
                  <c:v>250</c:v>
                </c:pt>
                <c:pt idx="3">
                  <c:v>500</c:v>
                </c:pt>
                <c:pt idx="4">
                  <c:v>750</c:v>
                </c:pt>
                <c:pt idx="5">
                  <c:v>1000</c:v>
                </c:pt>
              </c:numCache>
            </c:numRef>
          </c:xVal>
          <c:yVal>
            <c:numRef>
              <c:f>'DH -COMET_100'!$E$11:$E$16</c:f>
              <c:numCache>
                <c:formatCode>0.0</c:formatCode>
                <c:ptCount val="6"/>
                <c:pt idx="0">
                  <c:v>6.165</c:v>
                </c:pt>
                <c:pt idx="1">
                  <c:v>9.3000000000000007</c:v>
                </c:pt>
                <c:pt idx="2">
                  <c:v>11.64</c:v>
                </c:pt>
                <c:pt idx="3">
                  <c:v>13.56</c:v>
                </c:pt>
                <c:pt idx="4">
                  <c:v>17.489999999999998</c:v>
                </c:pt>
                <c:pt idx="5">
                  <c:v>23.4</c:v>
                </c:pt>
              </c:numCache>
            </c:numRef>
          </c:yVal>
          <c:smooth val="1"/>
          <c:extLst>
            <c:ext xmlns:c16="http://schemas.microsoft.com/office/drawing/2014/chart" uri="{C3380CC4-5D6E-409C-BE32-E72D297353CC}">
              <c16:uniqueId val="{00000000-47D2-4BDC-AE7A-437FE22C71D4}"/>
            </c:ext>
          </c:extLst>
        </c:ser>
        <c:ser>
          <c:idx val="1"/>
          <c:order val="1"/>
          <c:tx>
            <c:v>200 RPM EQUIVALENT</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'DH -COMET_100'!$A$18:$A$23</c:f>
              <c:numCache>
                <c:formatCode>General</c:formatCode>
                <c:ptCount val="6"/>
                <c:pt idx="0">
                  <c:v>0</c:v>
                </c:pt>
                <c:pt idx="1">
                  <c:v>100</c:v>
                </c:pt>
                <c:pt idx="2">
                  <c:v>250</c:v>
                </c:pt>
                <c:pt idx="3">
                  <c:v>500</c:v>
                </c:pt>
                <c:pt idx="4">
                  <c:v>750</c:v>
                </c:pt>
                <c:pt idx="5">
                  <c:v>1000</c:v>
                </c:pt>
              </c:numCache>
            </c:numRef>
          </c:xVal>
          <c:yVal>
            <c:numRef>
              <c:f>'DH -COMET_100'!$E$18:$E$23</c:f>
              <c:numCache>
                <c:formatCode>0.0</c:formatCode>
                <c:ptCount val="6"/>
                <c:pt idx="0">
                  <c:v>12.3</c:v>
                </c:pt>
                <c:pt idx="1">
                  <c:v>18.465</c:v>
                </c:pt>
                <c:pt idx="2">
                  <c:v>23.19</c:v>
                </c:pt>
                <c:pt idx="3">
                  <c:v>28.635000000000002</c:v>
                </c:pt>
                <c:pt idx="4">
                  <c:v>36</c:v>
                </c:pt>
                <c:pt idx="5">
                  <c:v>46.11</c:v>
                </c:pt>
              </c:numCache>
            </c:numRef>
          </c:yVal>
          <c:smooth val="1"/>
          <c:extLst>
            <c:ext xmlns:c16="http://schemas.microsoft.com/office/drawing/2014/chart" uri="{C3380CC4-5D6E-409C-BE32-E72D297353CC}">
              <c16:uniqueId val="{00000001-47D2-4BDC-AE7A-437FE22C71D4}"/>
            </c:ext>
          </c:extLst>
        </c:ser>
        <c:ser>
          <c:idx val="2"/>
          <c:order val="2"/>
          <c:tx>
            <c:v>400 RPM</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'DH -COMET_100'!$A$25:$A$30</c:f>
              <c:numCache>
                <c:formatCode>General</c:formatCode>
                <c:ptCount val="6"/>
                <c:pt idx="0">
                  <c:v>0</c:v>
                </c:pt>
                <c:pt idx="1">
                  <c:v>100</c:v>
                </c:pt>
                <c:pt idx="2">
                  <c:v>250</c:v>
                </c:pt>
                <c:pt idx="3">
                  <c:v>500</c:v>
                </c:pt>
                <c:pt idx="4">
                  <c:v>750</c:v>
                </c:pt>
                <c:pt idx="5">
                  <c:v>1000</c:v>
                </c:pt>
              </c:numCache>
            </c:numRef>
          </c:xVal>
          <c:yVal>
            <c:numRef>
              <c:f>'DH -COMET_100'!$E$25:$E$30</c:f>
              <c:numCache>
                <c:formatCode>0.0</c:formatCode>
                <c:ptCount val="6"/>
                <c:pt idx="0">
                  <c:v>23.82</c:v>
                </c:pt>
                <c:pt idx="1">
                  <c:v>34.200000000000003</c:v>
                </c:pt>
                <c:pt idx="2">
                  <c:v>44.64</c:v>
                </c:pt>
                <c:pt idx="3">
                  <c:v>59.82</c:v>
                </c:pt>
                <c:pt idx="4">
                  <c:v>67.5</c:v>
                </c:pt>
                <c:pt idx="5">
                  <c:v>88.62</c:v>
                </c:pt>
              </c:numCache>
            </c:numRef>
          </c:yVal>
          <c:smooth val="1"/>
          <c:extLst>
            <c:ext xmlns:c16="http://schemas.microsoft.com/office/drawing/2014/chart" uri="{C3380CC4-5D6E-409C-BE32-E72D297353CC}">
              <c16:uniqueId val="{00000002-47D2-4BDC-AE7A-437FE22C71D4}"/>
            </c:ext>
          </c:extLst>
        </c:ser>
        <c:ser>
          <c:idx val="3"/>
          <c:order val="3"/>
          <c:tx>
            <c:v>600 RPM</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'DH -COMET_100'!$A$32:$A$37</c:f>
              <c:numCache>
                <c:formatCode>General</c:formatCode>
                <c:ptCount val="6"/>
                <c:pt idx="0">
                  <c:v>0</c:v>
                </c:pt>
                <c:pt idx="1">
                  <c:v>100</c:v>
                </c:pt>
                <c:pt idx="2">
                  <c:v>250</c:v>
                </c:pt>
                <c:pt idx="3">
                  <c:v>500</c:v>
                </c:pt>
                <c:pt idx="4">
                  <c:v>750</c:v>
                </c:pt>
                <c:pt idx="5">
                  <c:v>1000</c:v>
                </c:pt>
              </c:numCache>
            </c:numRef>
          </c:xVal>
          <c:yVal>
            <c:numRef>
              <c:f>'DH -COMET_100'!$E$32:$E$37</c:f>
              <c:numCache>
                <c:formatCode>0.0</c:formatCode>
                <c:ptCount val="6"/>
                <c:pt idx="0">
                  <c:v>36.479999999999997</c:v>
                </c:pt>
                <c:pt idx="1">
                  <c:v>52.62</c:v>
                </c:pt>
                <c:pt idx="2">
                  <c:v>64.56</c:v>
                </c:pt>
                <c:pt idx="3">
                  <c:v>74.52</c:v>
                </c:pt>
                <c:pt idx="4">
                  <c:v>93.48</c:v>
                </c:pt>
                <c:pt idx="5">
                  <c:v>120.18</c:v>
                </c:pt>
              </c:numCache>
            </c:numRef>
          </c:yVal>
          <c:smooth val="1"/>
          <c:extLst>
            <c:ext xmlns:c16="http://schemas.microsoft.com/office/drawing/2014/chart" uri="{C3380CC4-5D6E-409C-BE32-E72D297353CC}">
              <c16:uniqueId val="{00000003-47D2-4BDC-AE7A-437FE22C71D4}"/>
            </c:ext>
          </c:extLst>
        </c:ser>
        <c:ser>
          <c:idx val="4"/>
          <c:order val="4"/>
          <c:tx>
            <c:v>8000 RPM</c:v>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'DH -COMET_100'!$A$39:$A$44</c:f>
              <c:numCache>
                <c:formatCode>General</c:formatCode>
                <c:ptCount val="6"/>
                <c:pt idx="0">
                  <c:v>0</c:v>
                </c:pt>
                <c:pt idx="1">
                  <c:v>100</c:v>
                </c:pt>
                <c:pt idx="2">
                  <c:v>250</c:v>
                </c:pt>
                <c:pt idx="3">
                  <c:v>500</c:v>
                </c:pt>
                <c:pt idx="4">
                  <c:v>750</c:v>
                </c:pt>
                <c:pt idx="5">
                  <c:v>1000</c:v>
                </c:pt>
              </c:numCache>
            </c:numRef>
          </c:xVal>
          <c:yVal>
            <c:numRef>
              <c:f>'DH -COMET_100'!$E$39:$E$44</c:f>
              <c:numCache>
                <c:formatCode>0.0</c:formatCode>
                <c:ptCount val="6"/>
                <c:pt idx="0">
                  <c:v>53.52</c:v>
                </c:pt>
                <c:pt idx="1">
                  <c:v>71.400000000000006</c:v>
                </c:pt>
                <c:pt idx="2">
                  <c:v>89.52</c:v>
                </c:pt>
                <c:pt idx="3">
                  <c:v>103.86</c:v>
                </c:pt>
                <c:pt idx="4">
                  <c:v>123.72</c:v>
                </c:pt>
                <c:pt idx="5">
                  <c:v>143.54285714285714</c:v>
                </c:pt>
              </c:numCache>
            </c:numRef>
          </c:yVal>
          <c:smooth val="1"/>
          <c:extLst>
            <c:ext xmlns:c16="http://schemas.microsoft.com/office/drawing/2014/chart" uri="{C3380CC4-5D6E-409C-BE32-E72D297353CC}">
              <c16:uniqueId val="{00000004-47D2-4BDC-AE7A-437FE22C71D4}"/>
            </c:ext>
          </c:extLst>
        </c:ser>
        <c:ser>
          <c:idx val="5"/>
          <c:order val="5"/>
          <c:tx>
            <c:v>1000 RPM</c:v>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'DH -COMET_100'!$A$46:$A$51</c:f>
              <c:numCache>
                <c:formatCode>General</c:formatCode>
                <c:ptCount val="6"/>
                <c:pt idx="0">
                  <c:v>0</c:v>
                </c:pt>
                <c:pt idx="1">
                  <c:v>100</c:v>
                </c:pt>
                <c:pt idx="2">
                  <c:v>250</c:v>
                </c:pt>
                <c:pt idx="3">
                  <c:v>500</c:v>
                </c:pt>
                <c:pt idx="4">
                  <c:v>750</c:v>
                </c:pt>
                <c:pt idx="5">
                  <c:v>1000</c:v>
                </c:pt>
              </c:numCache>
            </c:numRef>
          </c:xVal>
          <c:yVal>
            <c:numRef>
              <c:f>'DH -COMET_100'!$E$46:$E$51</c:f>
              <c:numCache>
                <c:formatCode>0.0</c:formatCode>
                <c:ptCount val="6"/>
                <c:pt idx="0">
                  <c:v>70.56</c:v>
                </c:pt>
                <c:pt idx="1">
                  <c:v>94.32</c:v>
                </c:pt>
                <c:pt idx="2">
                  <c:v>116.64</c:v>
                </c:pt>
                <c:pt idx="3">
                  <c:v>138.12</c:v>
                </c:pt>
                <c:pt idx="4">
                  <c:v>166.17142857142855</c:v>
                </c:pt>
                <c:pt idx="5">
                  <c:v>191.04</c:v>
                </c:pt>
              </c:numCache>
            </c:numRef>
          </c:yVal>
          <c:smooth val="1"/>
          <c:extLst>
            <c:ext xmlns:c16="http://schemas.microsoft.com/office/drawing/2014/chart" uri="{C3380CC4-5D6E-409C-BE32-E72D297353CC}">
              <c16:uniqueId val="{00000005-47D2-4BDC-AE7A-437FE22C71D4}"/>
            </c:ext>
          </c:extLst>
        </c:ser>
        <c:dLbls>
          <c:showLegendKey val="0"/>
          <c:showVal val="0"/>
          <c:showCatName val="0"/>
          <c:showSerName val="0"/>
          <c:showPercent val="0"/>
          <c:showBubbleSize val="0"/>
        </c:dLbls>
        <c:axId val="666338120"/>
        <c:axId val="666338448"/>
      </c:scatterChart>
      <c:valAx>
        <c:axId val="6663381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6338448"/>
        <c:crosses val="autoZero"/>
        <c:crossBetween val="midCat"/>
      </c:valAx>
      <c:valAx>
        <c:axId val="666338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Watts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6338120"/>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DH - Fusion2 100 pump</a:t>
            </a:r>
          </a:p>
          <a:p>
            <a:pPr>
              <a:defRPr/>
            </a:pPr>
            <a:r>
              <a:rPr lang="en-CA"/>
              <a:t>Watts versus</a:t>
            </a:r>
            <a:r>
              <a:rPr lang="en-CA" baseline="0"/>
              <a:t> Pressure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'DH -F2_100'!$B$11</c:f>
              <c:strCache>
                <c:ptCount val="1"/>
                <c:pt idx="0">
                  <c:v>20</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'DH -F2_100'!$A$11:$A$16</c:f>
              <c:numCache>
                <c:formatCode>General</c:formatCode>
                <c:ptCount val="6"/>
                <c:pt idx="0">
                  <c:v>0</c:v>
                </c:pt>
                <c:pt idx="1">
                  <c:v>100</c:v>
                </c:pt>
                <c:pt idx="2">
                  <c:v>250</c:v>
                </c:pt>
                <c:pt idx="3">
                  <c:v>500</c:v>
                </c:pt>
                <c:pt idx="4">
                  <c:v>750</c:v>
                </c:pt>
                <c:pt idx="5">
                  <c:v>1000</c:v>
                </c:pt>
              </c:numCache>
            </c:numRef>
          </c:xVal>
          <c:yVal>
            <c:numRef>
              <c:f>'DH -F2_100'!$F$11:$F$16</c:f>
              <c:numCache>
                <c:formatCode>0.0</c:formatCode>
                <c:ptCount val="6"/>
                <c:pt idx="0">
                  <c:v>3.3</c:v>
                </c:pt>
                <c:pt idx="1">
                  <c:v>6.12</c:v>
                </c:pt>
                <c:pt idx="2">
                  <c:v>8.5200000000000014</c:v>
                </c:pt>
                <c:pt idx="3">
                  <c:v>10.14</c:v>
                </c:pt>
                <c:pt idx="4">
                  <c:v>13.68</c:v>
                </c:pt>
                <c:pt idx="5">
                  <c:v>19.2</c:v>
                </c:pt>
              </c:numCache>
            </c:numRef>
          </c:yVal>
          <c:smooth val="1"/>
          <c:extLst>
            <c:ext xmlns:c16="http://schemas.microsoft.com/office/drawing/2014/chart" uri="{C3380CC4-5D6E-409C-BE32-E72D297353CC}">
              <c16:uniqueId val="{00000000-617E-42CA-ACD5-4DF955DD32CB}"/>
            </c:ext>
          </c:extLst>
        </c:ser>
        <c:ser>
          <c:idx val="1"/>
          <c:order val="1"/>
          <c:tx>
            <c:strRef>
              <c:f>'DH -F2_100'!$B$18</c:f>
              <c:strCache>
                <c:ptCount val="1"/>
                <c:pt idx="0">
                  <c:v>136</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'DH -F2_100'!$A$18:$A$23</c:f>
              <c:numCache>
                <c:formatCode>General</c:formatCode>
                <c:ptCount val="6"/>
                <c:pt idx="0">
                  <c:v>0</c:v>
                </c:pt>
                <c:pt idx="1">
                  <c:v>100</c:v>
                </c:pt>
                <c:pt idx="2">
                  <c:v>250</c:v>
                </c:pt>
                <c:pt idx="3">
                  <c:v>500</c:v>
                </c:pt>
                <c:pt idx="4">
                  <c:v>750</c:v>
                </c:pt>
                <c:pt idx="5">
                  <c:v>1000</c:v>
                </c:pt>
              </c:numCache>
            </c:numRef>
          </c:xVal>
          <c:yVal>
            <c:numRef>
              <c:f>'DH -F2_100'!$F$18:$F$23</c:f>
              <c:numCache>
                <c:formatCode>0.0</c:formatCode>
                <c:ptCount val="6"/>
                <c:pt idx="0">
                  <c:v>11.700000000000001</c:v>
                </c:pt>
                <c:pt idx="1">
                  <c:v>17.04</c:v>
                </c:pt>
                <c:pt idx="2">
                  <c:v>22.5</c:v>
                </c:pt>
                <c:pt idx="3">
                  <c:v>28.38</c:v>
                </c:pt>
                <c:pt idx="4">
                  <c:v>35.22</c:v>
                </c:pt>
                <c:pt idx="5">
                  <c:v>45.660000000000004</c:v>
                </c:pt>
              </c:numCache>
            </c:numRef>
          </c:yVal>
          <c:smooth val="1"/>
          <c:extLst>
            <c:ext xmlns:c16="http://schemas.microsoft.com/office/drawing/2014/chart" uri="{C3380CC4-5D6E-409C-BE32-E72D297353CC}">
              <c16:uniqueId val="{00000001-617E-42CA-ACD5-4DF955DD32CB}"/>
            </c:ext>
          </c:extLst>
        </c:ser>
        <c:ser>
          <c:idx val="2"/>
          <c:order val="2"/>
          <c:tx>
            <c:strRef>
              <c:f>'DH -F2_100'!$B$25</c:f>
              <c:strCache>
                <c:ptCount val="1"/>
                <c:pt idx="0">
                  <c:v>252</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'DH -F2_100'!$A$25:$A$30</c:f>
              <c:numCache>
                <c:formatCode>General</c:formatCode>
                <c:ptCount val="6"/>
                <c:pt idx="0">
                  <c:v>0</c:v>
                </c:pt>
                <c:pt idx="1">
                  <c:v>100</c:v>
                </c:pt>
                <c:pt idx="2">
                  <c:v>250</c:v>
                </c:pt>
                <c:pt idx="3">
                  <c:v>500</c:v>
                </c:pt>
                <c:pt idx="4">
                  <c:v>750</c:v>
                </c:pt>
                <c:pt idx="5">
                  <c:v>1000</c:v>
                </c:pt>
              </c:numCache>
            </c:numRef>
          </c:xVal>
          <c:yVal>
            <c:numRef>
              <c:f>'DH -F2_100'!$F$25:$F$30</c:f>
              <c:numCache>
                <c:formatCode>0.0</c:formatCode>
                <c:ptCount val="6"/>
                <c:pt idx="0">
                  <c:v>19.260000000000002</c:v>
                </c:pt>
                <c:pt idx="1">
                  <c:v>32.46</c:v>
                </c:pt>
                <c:pt idx="2">
                  <c:v>38.82</c:v>
                </c:pt>
                <c:pt idx="3">
                  <c:v>46.68</c:v>
                </c:pt>
                <c:pt idx="4">
                  <c:v>60.6</c:v>
                </c:pt>
                <c:pt idx="5">
                  <c:v>74.099999999999994</c:v>
                </c:pt>
              </c:numCache>
            </c:numRef>
          </c:yVal>
          <c:smooth val="1"/>
          <c:extLst>
            <c:ext xmlns:c16="http://schemas.microsoft.com/office/drawing/2014/chart" uri="{C3380CC4-5D6E-409C-BE32-E72D297353CC}">
              <c16:uniqueId val="{00000002-617E-42CA-ACD5-4DF955DD32CB}"/>
            </c:ext>
          </c:extLst>
        </c:ser>
        <c:ser>
          <c:idx val="3"/>
          <c:order val="3"/>
          <c:tx>
            <c:strRef>
              <c:f>'DH -F2_100'!$B$32</c:f>
              <c:strCache>
                <c:ptCount val="1"/>
                <c:pt idx="0">
                  <c:v>368</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'DH -F2_100'!$A$32:$A$37</c:f>
              <c:numCache>
                <c:formatCode>General</c:formatCode>
                <c:ptCount val="6"/>
                <c:pt idx="0">
                  <c:v>0</c:v>
                </c:pt>
                <c:pt idx="1">
                  <c:v>100</c:v>
                </c:pt>
                <c:pt idx="2">
                  <c:v>250</c:v>
                </c:pt>
                <c:pt idx="3">
                  <c:v>500</c:v>
                </c:pt>
                <c:pt idx="4">
                  <c:v>750</c:v>
                </c:pt>
                <c:pt idx="5">
                  <c:v>1000</c:v>
                </c:pt>
              </c:numCache>
            </c:numRef>
          </c:xVal>
          <c:yVal>
            <c:numRef>
              <c:f>'DH -F2_100'!$F$32:$F$37</c:f>
              <c:numCache>
                <c:formatCode>0.0</c:formatCode>
                <c:ptCount val="6"/>
                <c:pt idx="0">
                  <c:v>26.04</c:v>
                </c:pt>
                <c:pt idx="1">
                  <c:v>41.28</c:v>
                </c:pt>
                <c:pt idx="2">
                  <c:v>52.02</c:v>
                </c:pt>
                <c:pt idx="3">
                  <c:v>64.56</c:v>
                </c:pt>
                <c:pt idx="4">
                  <c:v>80.400000000000006</c:v>
                </c:pt>
                <c:pt idx="5">
                  <c:v>104.34</c:v>
                </c:pt>
              </c:numCache>
            </c:numRef>
          </c:yVal>
          <c:smooth val="1"/>
          <c:extLst>
            <c:ext xmlns:c16="http://schemas.microsoft.com/office/drawing/2014/chart" uri="{C3380CC4-5D6E-409C-BE32-E72D297353CC}">
              <c16:uniqueId val="{00000003-617E-42CA-ACD5-4DF955DD32CB}"/>
            </c:ext>
          </c:extLst>
        </c:ser>
        <c:ser>
          <c:idx val="4"/>
          <c:order val="4"/>
          <c:tx>
            <c:strRef>
              <c:f>'DH -F2_100'!$B$39</c:f>
              <c:strCache>
                <c:ptCount val="1"/>
                <c:pt idx="0">
                  <c:v>484</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'DH -F2_100'!$A$39:$A$44</c:f>
              <c:numCache>
                <c:formatCode>General</c:formatCode>
                <c:ptCount val="6"/>
                <c:pt idx="0">
                  <c:v>0</c:v>
                </c:pt>
                <c:pt idx="1">
                  <c:v>100</c:v>
                </c:pt>
                <c:pt idx="2">
                  <c:v>250</c:v>
                </c:pt>
                <c:pt idx="3">
                  <c:v>500</c:v>
                </c:pt>
                <c:pt idx="4">
                  <c:v>750</c:v>
                </c:pt>
                <c:pt idx="5">
                  <c:v>1000</c:v>
                </c:pt>
              </c:numCache>
            </c:numRef>
          </c:xVal>
          <c:yVal>
            <c:numRef>
              <c:f>'DH -F2_100'!$F$39:$F$44</c:f>
              <c:numCache>
                <c:formatCode>0.0</c:formatCode>
                <c:ptCount val="6"/>
                <c:pt idx="0">
                  <c:v>36.414193548387097</c:v>
                </c:pt>
                <c:pt idx="1">
                  <c:v>58.280963855421689</c:v>
                </c:pt>
                <c:pt idx="2">
                  <c:v>70.02</c:v>
                </c:pt>
                <c:pt idx="3">
                  <c:v>83.94</c:v>
                </c:pt>
                <c:pt idx="4">
                  <c:v>101.16</c:v>
                </c:pt>
                <c:pt idx="5">
                  <c:v>130.07999999999998</c:v>
                </c:pt>
              </c:numCache>
            </c:numRef>
          </c:yVal>
          <c:smooth val="1"/>
          <c:extLst>
            <c:ext xmlns:c16="http://schemas.microsoft.com/office/drawing/2014/chart" uri="{C3380CC4-5D6E-409C-BE32-E72D297353CC}">
              <c16:uniqueId val="{00000004-617E-42CA-ACD5-4DF955DD32CB}"/>
            </c:ext>
          </c:extLst>
        </c:ser>
        <c:ser>
          <c:idx val="5"/>
          <c:order val="5"/>
          <c:tx>
            <c:strRef>
              <c:f>'DH -F2_100'!$B$46</c:f>
              <c:strCache>
                <c:ptCount val="1"/>
                <c:pt idx="0">
                  <c:v>600</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'DH -F2_100'!$A$46:$A$51</c:f>
              <c:numCache>
                <c:formatCode>General</c:formatCode>
                <c:ptCount val="6"/>
                <c:pt idx="0">
                  <c:v>0</c:v>
                </c:pt>
                <c:pt idx="1">
                  <c:v>100</c:v>
                </c:pt>
                <c:pt idx="2">
                  <c:v>250</c:v>
                </c:pt>
                <c:pt idx="3">
                  <c:v>500</c:v>
                </c:pt>
                <c:pt idx="4">
                  <c:v>750</c:v>
                </c:pt>
                <c:pt idx="5">
                  <c:v>1000</c:v>
                </c:pt>
              </c:numCache>
            </c:numRef>
          </c:xVal>
          <c:yVal>
            <c:numRef>
              <c:f>'DH -F2_100'!$F$46:$F$51</c:f>
              <c:numCache>
                <c:formatCode>0.0</c:formatCode>
                <c:ptCount val="6"/>
                <c:pt idx="0">
                  <c:v>46.930909090909097</c:v>
                </c:pt>
                <c:pt idx="1">
                  <c:v>74.599999999999994</c:v>
                </c:pt>
                <c:pt idx="2">
                  <c:v>89.501538461538459</c:v>
                </c:pt>
                <c:pt idx="3">
                  <c:v>104.39</c:v>
                </c:pt>
                <c:pt idx="4">
                  <c:v>131.33999999999997</c:v>
                </c:pt>
                <c:pt idx="5">
                  <c:v>166.92</c:v>
                </c:pt>
              </c:numCache>
            </c:numRef>
          </c:yVal>
          <c:smooth val="1"/>
          <c:extLst>
            <c:ext xmlns:c16="http://schemas.microsoft.com/office/drawing/2014/chart" uri="{C3380CC4-5D6E-409C-BE32-E72D297353CC}">
              <c16:uniqueId val="{00000005-617E-42CA-ACD5-4DF955DD32CB}"/>
            </c:ext>
          </c:extLst>
        </c:ser>
        <c:dLbls>
          <c:showLegendKey val="0"/>
          <c:showVal val="0"/>
          <c:showCatName val="0"/>
          <c:showSerName val="0"/>
          <c:showPercent val="0"/>
          <c:showBubbleSize val="0"/>
        </c:dLbls>
        <c:axId val="666338120"/>
        <c:axId val="666338448"/>
      </c:scatterChart>
      <c:valAx>
        <c:axId val="6663381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6338448"/>
        <c:crosses val="autoZero"/>
        <c:crossBetween val="midCat"/>
      </c:valAx>
      <c:valAx>
        <c:axId val="666338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Watts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6338120"/>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entury Gothic" panose="020B0502020202020204" pitchFamily="34" charset="0"/>
                <a:ea typeface="Calibri"/>
                <a:cs typeface="Calibri"/>
              </a:defRPr>
            </a:pPr>
            <a:r>
              <a:rPr lang="en-CA" sz="1800" b="1" i="0" u="none" strike="noStrike" baseline="0">
                <a:solidFill>
                  <a:srgbClr val="000000"/>
                </a:solidFill>
                <a:latin typeface="Century Gothic" panose="020B0502020202020204" pitchFamily="34" charset="0"/>
              </a:rPr>
              <a:t>Sirius Solar Pump Curves, Flow Rate vs Pressure</a:t>
            </a:r>
          </a:p>
        </c:rich>
      </c:tx>
      <c:overlay val="0"/>
    </c:title>
    <c:autoTitleDeleted val="0"/>
    <c:plotArea>
      <c:layout>
        <c:manualLayout>
          <c:layoutTarget val="inner"/>
          <c:xMode val="edge"/>
          <c:yMode val="edge"/>
          <c:x val="0.10837902616690312"/>
          <c:y val="8.5005169808319417E-2"/>
          <c:w val="0.85199285168186445"/>
          <c:h val="0.82154696572019403"/>
        </c:manualLayout>
      </c:layout>
      <c:scatterChart>
        <c:scatterStyle val="smoothMarker"/>
        <c:varyColors val="0"/>
        <c:ser>
          <c:idx val="2"/>
          <c:order val="0"/>
          <c:tx>
            <c:v>COMET2 100, DUAL HEAD, 24 VDC</c:v>
          </c:tx>
          <c:spPr>
            <a:ln>
              <a:solidFill>
                <a:srgbClr val="FF0000"/>
              </a:solidFill>
              <a:prstDash val="lgDash"/>
            </a:ln>
          </c:spPr>
          <c:marker>
            <c:symbol val="none"/>
          </c:marker>
          <c:xVal>
            <c:numRef>
              <c:f>'DH -COMET_100'!$K$65:$K$70</c:f>
              <c:numCache>
                <c:formatCode>General</c:formatCode>
                <c:ptCount val="6"/>
                <c:pt idx="0">
                  <c:v>0</c:v>
                </c:pt>
                <c:pt idx="1">
                  <c:v>100</c:v>
                </c:pt>
                <c:pt idx="2">
                  <c:v>250</c:v>
                </c:pt>
                <c:pt idx="3">
                  <c:v>500</c:v>
                </c:pt>
                <c:pt idx="4">
                  <c:v>750</c:v>
                </c:pt>
                <c:pt idx="5">
                  <c:v>1000</c:v>
                </c:pt>
              </c:numCache>
            </c:numRef>
          </c:xVal>
          <c:yVal>
            <c:numRef>
              <c:f>'DH -COMET_100'!$Q$65:$Q$70</c:f>
              <c:numCache>
                <c:formatCode>0.00</c:formatCode>
                <c:ptCount val="6"/>
                <c:pt idx="0">
                  <c:v>2042.5531914893618</c:v>
                </c:pt>
                <c:pt idx="1">
                  <c:v>1875</c:v>
                </c:pt>
                <c:pt idx="2">
                  <c:v>1759.5307917888563</c:v>
                </c:pt>
                <c:pt idx="3">
                  <c:v>1668.1146828844485</c:v>
                </c:pt>
                <c:pt idx="4">
                  <c:v>1462.9686071319718</c:v>
                </c:pt>
                <c:pt idx="5">
                  <c:v>1315.9698423577793</c:v>
                </c:pt>
              </c:numCache>
            </c:numRef>
          </c:yVal>
          <c:smooth val="1"/>
          <c:extLst>
            <c:ext xmlns:c16="http://schemas.microsoft.com/office/drawing/2014/chart" uri="{C3380CC4-5D6E-409C-BE32-E72D297353CC}">
              <c16:uniqueId val="{00000001-AC69-4FCB-9C86-73AA9FA7F8E7}"/>
            </c:ext>
          </c:extLst>
        </c:ser>
        <c:ser>
          <c:idx val="3"/>
          <c:order val="1"/>
          <c:tx>
            <c:v>FUSION2 100, DUAL HEAD, 24 VDC</c:v>
          </c:tx>
          <c:spPr>
            <a:ln>
              <a:solidFill>
                <a:srgbClr val="FF0000"/>
              </a:solidFill>
            </a:ln>
          </c:spPr>
          <c:marker>
            <c:symbol val="none"/>
          </c:marker>
          <c:xVal>
            <c:numRef>
              <c:f>'DH -F2_100'!$A$46:$A$51</c:f>
              <c:numCache>
                <c:formatCode>General</c:formatCode>
                <c:ptCount val="6"/>
                <c:pt idx="0">
                  <c:v>0</c:v>
                </c:pt>
                <c:pt idx="1">
                  <c:v>100</c:v>
                </c:pt>
                <c:pt idx="2">
                  <c:v>250</c:v>
                </c:pt>
                <c:pt idx="3">
                  <c:v>500</c:v>
                </c:pt>
                <c:pt idx="4">
                  <c:v>750</c:v>
                </c:pt>
                <c:pt idx="5">
                  <c:v>1000</c:v>
                </c:pt>
              </c:numCache>
            </c:numRef>
          </c:xVal>
          <c:yVal>
            <c:numRef>
              <c:f>'DH -F2_100'!$I$46:$I$51</c:f>
              <c:numCache>
                <c:formatCode>0.00</c:formatCode>
                <c:ptCount val="6"/>
                <c:pt idx="0">
                  <c:v>1218.75</c:v>
                </c:pt>
                <c:pt idx="1">
                  <c:v>1218.75</c:v>
                </c:pt>
                <c:pt idx="2">
                  <c:v>1200</c:v>
                </c:pt>
                <c:pt idx="3">
                  <c:v>1218.75</c:v>
                </c:pt>
                <c:pt idx="4">
                  <c:v>1180.327868852459</c:v>
                </c:pt>
                <c:pt idx="5">
                  <c:v>1161.2903225806451</c:v>
                </c:pt>
              </c:numCache>
            </c:numRef>
          </c:yVal>
          <c:smooth val="1"/>
          <c:extLst>
            <c:ext xmlns:c16="http://schemas.microsoft.com/office/drawing/2014/chart" uri="{C3380CC4-5D6E-409C-BE32-E72D297353CC}">
              <c16:uniqueId val="{00000002-245B-4F94-AC35-3EB55DB78FD9}"/>
            </c:ext>
          </c:extLst>
        </c:ser>
        <c:ser>
          <c:idx val="4"/>
          <c:order val="2"/>
          <c:tx>
            <c:v>COMET2 300, DUAL HEAD, 24 VDC</c:v>
          </c:tx>
          <c:spPr>
            <a:ln>
              <a:solidFill>
                <a:schemeClr val="tx2"/>
              </a:solidFill>
              <a:prstDash val="lgDash"/>
            </a:ln>
          </c:spPr>
          <c:marker>
            <c:symbol val="none"/>
          </c:marker>
          <c:xVal>
            <c:numRef>
              <c:f>COMET2_DH300!$A$46:$A$51</c:f>
              <c:numCache>
                <c:formatCode>General</c:formatCode>
                <c:ptCount val="6"/>
                <c:pt idx="0">
                  <c:v>0</c:v>
                </c:pt>
                <c:pt idx="1">
                  <c:v>100</c:v>
                </c:pt>
                <c:pt idx="2">
                  <c:v>500</c:v>
                </c:pt>
                <c:pt idx="3">
                  <c:v>1000</c:v>
                </c:pt>
                <c:pt idx="4">
                  <c:v>2000</c:v>
                </c:pt>
                <c:pt idx="5">
                  <c:v>3000</c:v>
                </c:pt>
              </c:numCache>
            </c:numRef>
          </c:xVal>
          <c:yVal>
            <c:numRef>
              <c:f>COMET2_DH300!$I$46:$I$51</c:f>
              <c:numCache>
                <c:formatCode>0.00</c:formatCode>
                <c:ptCount val="6"/>
                <c:pt idx="0">
                  <c:v>623.37662337662334</c:v>
                </c:pt>
                <c:pt idx="1">
                  <c:v>600</c:v>
                </c:pt>
                <c:pt idx="2">
                  <c:v>564.70588235294122</c:v>
                </c:pt>
                <c:pt idx="3">
                  <c:v>533.33333333333337</c:v>
                </c:pt>
                <c:pt idx="4">
                  <c:v>436.36363636363637</c:v>
                </c:pt>
                <c:pt idx="5">
                  <c:v>342.85714285714283</c:v>
                </c:pt>
              </c:numCache>
            </c:numRef>
          </c:yVal>
          <c:smooth val="1"/>
          <c:extLst>
            <c:ext xmlns:c16="http://schemas.microsoft.com/office/drawing/2014/chart" uri="{C3380CC4-5D6E-409C-BE32-E72D297353CC}">
              <c16:uniqueId val="{00000001-68E8-4200-BA9F-C8FF6E68A2F0}"/>
            </c:ext>
          </c:extLst>
        </c:ser>
        <c:ser>
          <c:idx val="0"/>
          <c:order val="3"/>
          <c:tx>
            <c:v>FUSION2 300, DUAL HEAD, 24 VDC</c:v>
          </c:tx>
          <c:spPr>
            <a:ln>
              <a:solidFill>
                <a:schemeClr val="tx2"/>
              </a:solidFill>
            </a:ln>
          </c:spPr>
          <c:marker>
            <c:symbol val="none"/>
          </c:marker>
          <c:xVal>
            <c:numRef>
              <c:f>F2_300_DH!$K$65:$K$70</c:f>
              <c:numCache>
                <c:formatCode>General</c:formatCode>
                <c:ptCount val="6"/>
                <c:pt idx="0">
                  <c:v>0</c:v>
                </c:pt>
                <c:pt idx="1">
                  <c:v>100</c:v>
                </c:pt>
                <c:pt idx="2">
                  <c:v>500</c:v>
                </c:pt>
                <c:pt idx="3">
                  <c:v>1000</c:v>
                </c:pt>
                <c:pt idx="4">
                  <c:v>2000</c:v>
                </c:pt>
                <c:pt idx="5">
                  <c:v>3000</c:v>
                </c:pt>
              </c:numCache>
            </c:numRef>
          </c:xVal>
          <c:yVal>
            <c:numRef>
              <c:f>F2_300_DH!$Q$65:$Q$70</c:f>
              <c:numCache>
                <c:formatCode>0.00</c:formatCode>
                <c:ptCount val="6"/>
                <c:pt idx="0">
                  <c:v>410</c:v>
                </c:pt>
                <c:pt idx="1">
                  <c:v>405</c:v>
                </c:pt>
                <c:pt idx="2">
                  <c:v>395</c:v>
                </c:pt>
                <c:pt idx="3">
                  <c:v>390</c:v>
                </c:pt>
                <c:pt idx="4">
                  <c:v>360</c:v>
                </c:pt>
                <c:pt idx="5">
                  <c:v>345</c:v>
                </c:pt>
              </c:numCache>
            </c:numRef>
          </c:yVal>
          <c:smooth val="1"/>
          <c:extLst>
            <c:ext xmlns:c16="http://schemas.microsoft.com/office/drawing/2014/chart" uri="{C3380CC4-5D6E-409C-BE32-E72D297353CC}">
              <c16:uniqueId val="{00000003-DDE3-4B99-942B-B4CCF7D8F01B}"/>
            </c:ext>
          </c:extLst>
        </c:ser>
        <c:ser>
          <c:idx val="5"/>
          <c:order val="4"/>
          <c:tx>
            <c:v>COMET2 500, DUAL HEAD, 24 VDC</c:v>
          </c:tx>
          <c:spPr>
            <a:ln>
              <a:solidFill>
                <a:schemeClr val="accent6">
                  <a:lumMod val="75000"/>
                </a:schemeClr>
              </a:solidFill>
              <a:prstDash val="lgDash"/>
            </a:ln>
          </c:spPr>
          <c:marker>
            <c:symbol val="none"/>
          </c:marker>
          <c:xVal>
            <c:numRef>
              <c:f>'COMET2_HP-DH500'!$A$46:$A$51</c:f>
              <c:numCache>
                <c:formatCode>General</c:formatCode>
                <c:ptCount val="6"/>
                <c:pt idx="0">
                  <c:v>0</c:v>
                </c:pt>
                <c:pt idx="1">
                  <c:v>500</c:v>
                </c:pt>
                <c:pt idx="2">
                  <c:v>1000</c:v>
                </c:pt>
                <c:pt idx="3">
                  <c:v>3000</c:v>
                </c:pt>
                <c:pt idx="4">
                  <c:v>4000</c:v>
                </c:pt>
                <c:pt idx="5">
                  <c:v>5000</c:v>
                </c:pt>
              </c:numCache>
            </c:numRef>
          </c:xVal>
          <c:yVal>
            <c:numRef>
              <c:f>'COMET2_HP-DH500'!$I$46:$I$51</c:f>
              <c:numCache>
                <c:formatCode>0.00</c:formatCode>
                <c:ptCount val="6"/>
                <c:pt idx="0">
                  <c:v>468</c:v>
                </c:pt>
                <c:pt idx="1">
                  <c:v>420</c:v>
                </c:pt>
                <c:pt idx="2">
                  <c:v>372</c:v>
                </c:pt>
                <c:pt idx="3">
                  <c:v>294</c:v>
                </c:pt>
                <c:pt idx="4">
                  <c:v>240</c:v>
                </c:pt>
                <c:pt idx="5">
                  <c:v>212</c:v>
                </c:pt>
              </c:numCache>
            </c:numRef>
          </c:yVal>
          <c:smooth val="1"/>
          <c:extLst>
            <c:ext xmlns:c16="http://schemas.microsoft.com/office/drawing/2014/chart" uri="{C3380CC4-5D6E-409C-BE32-E72D297353CC}">
              <c16:uniqueId val="{00000002-68E8-4200-BA9F-C8FF6E68A2F0}"/>
            </c:ext>
          </c:extLst>
        </c:ser>
        <c:ser>
          <c:idx val="1"/>
          <c:order val="5"/>
          <c:tx>
            <c:v>FUSION2 500, DUAL HEAD, 24 VDC</c:v>
          </c:tx>
          <c:spPr>
            <a:ln>
              <a:solidFill>
                <a:schemeClr val="accent6">
                  <a:lumMod val="75000"/>
                </a:schemeClr>
              </a:solidFill>
            </a:ln>
          </c:spPr>
          <c:marker>
            <c:symbol val="none"/>
          </c:marker>
          <c:xVal>
            <c:numRef>
              <c:f>F2_500_DH!$K$65:$K$70</c:f>
              <c:numCache>
                <c:formatCode>General</c:formatCode>
                <c:ptCount val="6"/>
                <c:pt idx="0">
                  <c:v>0</c:v>
                </c:pt>
                <c:pt idx="1">
                  <c:v>500</c:v>
                </c:pt>
                <c:pt idx="2">
                  <c:v>1000</c:v>
                </c:pt>
                <c:pt idx="3">
                  <c:v>3000</c:v>
                </c:pt>
                <c:pt idx="4">
                  <c:v>4000</c:v>
                </c:pt>
                <c:pt idx="5">
                  <c:v>5000</c:v>
                </c:pt>
              </c:numCache>
            </c:numRef>
          </c:xVal>
          <c:yVal>
            <c:numRef>
              <c:f>F2_500_DH!$Q$65:$Q$70</c:f>
              <c:numCache>
                <c:formatCode>0.00</c:formatCode>
                <c:ptCount val="6"/>
                <c:pt idx="0">
                  <c:v>280</c:v>
                </c:pt>
                <c:pt idx="1">
                  <c:v>270</c:v>
                </c:pt>
                <c:pt idx="2">
                  <c:v>255</c:v>
                </c:pt>
                <c:pt idx="3">
                  <c:v>230</c:v>
                </c:pt>
                <c:pt idx="4">
                  <c:v>225</c:v>
                </c:pt>
                <c:pt idx="5">
                  <c:v>215</c:v>
                </c:pt>
              </c:numCache>
            </c:numRef>
          </c:yVal>
          <c:smooth val="1"/>
          <c:extLst>
            <c:ext xmlns:c16="http://schemas.microsoft.com/office/drawing/2014/chart" uri="{C3380CC4-5D6E-409C-BE32-E72D297353CC}">
              <c16:uniqueId val="{00000005-DDE3-4B99-942B-B4CCF7D8F01B}"/>
            </c:ext>
          </c:extLst>
        </c:ser>
        <c:dLbls>
          <c:showLegendKey val="0"/>
          <c:showVal val="0"/>
          <c:showCatName val="0"/>
          <c:showSerName val="0"/>
          <c:showPercent val="0"/>
          <c:showBubbleSize val="0"/>
        </c:dLbls>
        <c:axId val="461748416"/>
        <c:axId val="1"/>
        <c:extLst/>
      </c:scatterChart>
      <c:valAx>
        <c:axId val="461748416"/>
        <c:scaling>
          <c:orientation val="minMax"/>
          <c:max val="5000"/>
        </c:scaling>
        <c:delete val="0"/>
        <c:axPos val="b"/>
        <c:majorGridlines/>
        <c:title>
          <c:tx>
            <c:rich>
              <a:bodyPr/>
              <a:lstStyle/>
              <a:p>
                <a:pPr>
                  <a:defRPr sz="1000" b="1" i="0" u="none" strike="noStrike" baseline="0">
                    <a:solidFill>
                      <a:srgbClr val="000000"/>
                    </a:solidFill>
                    <a:latin typeface="Century Gothic" panose="020B0502020202020204" pitchFamily="34" charset="0"/>
                    <a:ea typeface="Calibri"/>
                    <a:cs typeface="Calibri"/>
                  </a:defRPr>
                </a:pPr>
                <a:r>
                  <a:rPr lang="en-CA" sz="1600">
                    <a:latin typeface="Century Gothic" panose="020B0502020202020204" pitchFamily="34" charset="0"/>
                  </a:rPr>
                  <a:t>Pressure [psi]</a:t>
                </a:r>
              </a:p>
            </c:rich>
          </c:tx>
          <c:overlay val="0"/>
        </c:title>
        <c:numFmt formatCode="General" sourceLinked="1"/>
        <c:majorTickMark val="out"/>
        <c:minorTickMark val="none"/>
        <c:tickLblPos val="nextTo"/>
        <c:txPr>
          <a:bodyPr rot="0" vert="horz"/>
          <a:lstStyle/>
          <a:p>
            <a:pPr>
              <a:defRPr sz="1400" b="0" i="0" u="none" strike="noStrike" baseline="0">
                <a:solidFill>
                  <a:srgbClr val="000000"/>
                </a:solidFill>
                <a:latin typeface="Century Gothic" panose="020B0502020202020204" pitchFamily="34" charset="0"/>
                <a:ea typeface="Calibri"/>
                <a:cs typeface="Calibri"/>
              </a:defRPr>
            </a:pPr>
            <a:endParaRPr lang="en-US"/>
          </a:p>
        </c:txPr>
        <c:crossAx val="1"/>
        <c:crosses val="autoZero"/>
        <c:crossBetween val="midCat"/>
      </c:valAx>
      <c:valAx>
        <c:axId val="1"/>
        <c:scaling>
          <c:orientation val="minMax"/>
          <c:max val="2500"/>
          <c:min val="0"/>
        </c:scaling>
        <c:delete val="0"/>
        <c:axPos val="l"/>
        <c:majorGridlines/>
        <c:title>
          <c:tx>
            <c:rich>
              <a:bodyPr/>
              <a:lstStyle/>
              <a:p>
                <a:pPr>
                  <a:defRPr sz="1000" b="1" i="0" u="none" strike="noStrike" baseline="0">
                    <a:solidFill>
                      <a:srgbClr val="000000"/>
                    </a:solidFill>
                    <a:latin typeface="Century Gothic" panose="020B0502020202020204" pitchFamily="34" charset="0"/>
                    <a:ea typeface="Calibri"/>
                    <a:cs typeface="Calibri"/>
                  </a:defRPr>
                </a:pPr>
                <a:r>
                  <a:rPr lang="en-CA" sz="1600">
                    <a:latin typeface="Century Gothic" panose="020B0502020202020204" pitchFamily="34" charset="0"/>
                  </a:rPr>
                  <a:t>Volume </a:t>
                </a:r>
                <a:r>
                  <a:rPr lang="en-CA" sz="1600" baseline="0">
                    <a:latin typeface="Century Gothic" panose="020B0502020202020204" pitchFamily="34" charset="0"/>
                  </a:rPr>
                  <a:t> [ </a:t>
                </a:r>
                <a:r>
                  <a:rPr lang="en-CA" sz="1600">
                    <a:latin typeface="Century Gothic" panose="020B0502020202020204" pitchFamily="34" charset="0"/>
                  </a:rPr>
                  <a:t>L/Day ]</a:t>
                </a:r>
              </a:p>
            </c:rich>
          </c:tx>
          <c:overlay val="0"/>
        </c:title>
        <c:numFmt formatCode="0" sourceLinked="0"/>
        <c:majorTickMark val="out"/>
        <c:minorTickMark val="none"/>
        <c:tickLblPos val="nextTo"/>
        <c:txPr>
          <a:bodyPr rot="0" vert="horz"/>
          <a:lstStyle/>
          <a:p>
            <a:pPr>
              <a:defRPr sz="1600" b="0" i="0" u="none" strike="noStrike" baseline="0">
                <a:solidFill>
                  <a:srgbClr val="000000"/>
                </a:solidFill>
                <a:latin typeface="Century Gothic" panose="020B0502020202020204" pitchFamily="34" charset="0"/>
                <a:ea typeface="Calibri"/>
                <a:cs typeface="Calibri"/>
              </a:defRPr>
            </a:pPr>
            <a:endParaRPr lang="en-US"/>
          </a:p>
        </c:txPr>
        <c:crossAx val="461748416"/>
        <c:crosses val="autoZero"/>
        <c:crossBetween val="midCat"/>
        <c:majorUnit val="250"/>
      </c:valAx>
    </c:plotArea>
    <c:legend>
      <c:legendPos val="r"/>
      <c:layout>
        <c:manualLayout>
          <c:xMode val="edge"/>
          <c:yMode val="edge"/>
          <c:x val="0.40538065509780563"/>
          <c:y val="0.26111111111111113"/>
          <c:w val="0.43379015200392207"/>
          <c:h val="0.36981627296587921"/>
        </c:manualLayout>
      </c:layout>
      <c:overlay val="0"/>
      <c:spPr>
        <a:solidFill>
          <a:schemeClr val="bg1"/>
        </a:solidFill>
        <a:ln w="28575">
          <a:solidFill>
            <a:schemeClr val="tx1"/>
          </a:solidFill>
        </a:ln>
      </c:spPr>
      <c:txPr>
        <a:bodyPr/>
        <a:lstStyle/>
        <a:p>
          <a:pPr>
            <a:defRPr sz="1200" b="0" i="0" u="none" strike="noStrike" baseline="0">
              <a:solidFill>
                <a:srgbClr val="000000"/>
              </a:solidFill>
              <a:latin typeface="Century Gothic" panose="020B0502020202020204" pitchFamily="34" charset="0"/>
              <a:ea typeface="DengXian Light" panose="020B0503020204020204" pitchFamily="2" charset="-122"/>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Comet2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COMET2_SH300!$B$46</c:f>
              <c:strCache>
                <c:ptCount val="1"/>
                <c:pt idx="0">
                  <c:v>1000</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2.3812676006669992E-2"/>
                  <c:y val="-0.15782530641367065"/>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COMET2_SH300!$A$46:$A$51</c:f>
              <c:numCache>
                <c:formatCode>General</c:formatCode>
                <c:ptCount val="6"/>
                <c:pt idx="0">
                  <c:v>0</c:v>
                </c:pt>
                <c:pt idx="1">
                  <c:v>100</c:v>
                </c:pt>
                <c:pt idx="2">
                  <c:v>500</c:v>
                </c:pt>
                <c:pt idx="3">
                  <c:v>1000</c:v>
                </c:pt>
                <c:pt idx="4">
                  <c:v>2000</c:v>
                </c:pt>
                <c:pt idx="5">
                  <c:v>3000</c:v>
                </c:pt>
              </c:numCache>
            </c:numRef>
          </c:xVal>
          <c:yVal>
            <c:numRef>
              <c:f>COMET2_SH300!$I$46:$I$51</c:f>
              <c:numCache>
                <c:formatCode>0.00</c:formatCode>
                <c:ptCount val="6"/>
                <c:pt idx="0">
                  <c:v>331.0344827586207</c:v>
                </c:pt>
                <c:pt idx="1">
                  <c:v>320</c:v>
                </c:pt>
                <c:pt idx="2">
                  <c:v>300</c:v>
                </c:pt>
                <c:pt idx="3">
                  <c:v>282.35294117647061</c:v>
                </c:pt>
                <c:pt idx="4">
                  <c:v>260.86956521739131</c:v>
                </c:pt>
                <c:pt idx="5">
                  <c:v>228.57142857142858</c:v>
                </c:pt>
              </c:numCache>
            </c:numRef>
          </c:yVal>
          <c:smooth val="0"/>
          <c:extLst>
            <c:ext xmlns:c16="http://schemas.microsoft.com/office/drawing/2014/chart" uri="{C3380CC4-5D6E-409C-BE32-E72D297353CC}">
              <c16:uniqueId val="{00000001-9B3F-4DD1-BD28-30B554C0C8A0}"/>
            </c:ext>
          </c:extLst>
        </c:ser>
        <c:ser>
          <c:idx val="1"/>
          <c:order val="1"/>
          <c:tx>
            <c:strRef>
              <c:f>COMET2_SH300!$B$39</c:f>
              <c:strCache>
                <c:ptCount val="1"/>
                <c:pt idx="0">
                  <c:v>800</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poly"/>
            <c:order val="2"/>
            <c:dispRSqr val="0"/>
            <c:dispEq val="0"/>
          </c:trendline>
          <c:xVal>
            <c:numRef>
              <c:f>COMET2_SH300!$A$39:$A$44</c:f>
              <c:numCache>
                <c:formatCode>General</c:formatCode>
                <c:ptCount val="6"/>
                <c:pt idx="0">
                  <c:v>0</c:v>
                </c:pt>
                <c:pt idx="1">
                  <c:v>100</c:v>
                </c:pt>
                <c:pt idx="2">
                  <c:v>500</c:v>
                </c:pt>
                <c:pt idx="3">
                  <c:v>1000</c:v>
                </c:pt>
                <c:pt idx="4">
                  <c:v>2000</c:v>
                </c:pt>
                <c:pt idx="5">
                  <c:v>3000</c:v>
                </c:pt>
              </c:numCache>
            </c:numRef>
          </c:xVal>
          <c:yVal>
            <c:numRef>
              <c:f>COMET2_SH300!$I$39:$I$44</c:f>
              <c:numCache>
                <c:formatCode>0.00</c:formatCode>
                <c:ptCount val="6"/>
                <c:pt idx="0">
                  <c:v>270.42253521126759</c:v>
                </c:pt>
                <c:pt idx="1">
                  <c:v>266.66666666666669</c:v>
                </c:pt>
                <c:pt idx="2">
                  <c:v>252.63157894736841</c:v>
                </c:pt>
                <c:pt idx="3">
                  <c:v>240</c:v>
                </c:pt>
                <c:pt idx="4">
                  <c:v>208.69565217391303</c:v>
                </c:pt>
                <c:pt idx="5">
                  <c:v>192</c:v>
                </c:pt>
              </c:numCache>
            </c:numRef>
          </c:yVal>
          <c:smooth val="0"/>
          <c:extLst>
            <c:ext xmlns:c16="http://schemas.microsoft.com/office/drawing/2014/chart" uri="{C3380CC4-5D6E-409C-BE32-E72D297353CC}">
              <c16:uniqueId val="{00000003-9B3F-4DD1-BD28-30B554C0C8A0}"/>
            </c:ext>
          </c:extLst>
        </c:ser>
        <c:ser>
          <c:idx val="2"/>
          <c:order val="2"/>
          <c:tx>
            <c:strRef>
              <c:f>COMET2_SH300!$B$32</c:f>
              <c:strCache>
                <c:ptCount val="1"/>
                <c:pt idx="0">
                  <c:v>600</c:v>
                </c:pt>
              </c:strCache>
            </c:strRef>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poly"/>
            <c:order val="2"/>
            <c:dispRSqr val="0"/>
            <c:dispEq val="0"/>
          </c:trendline>
          <c:xVal>
            <c:numRef>
              <c:f>COMET2_SH300!$A$32:$A$37</c:f>
              <c:numCache>
                <c:formatCode>General</c:formatCode>
                <c:ptCount val="6"/>
                <c:pt idx="0">
                  <c:v>0</c:v>
                </c:pt>
                <c:pt idx="1">
                  <c:v>100</c:v>
                </c:pt>
                <c:pt idx="2">
                  <c:v>500</c:v>
                </c:pt>
                <c:pt idx="3">
                  <c:v>1000</c:v>
                </c:pt>
                <c:pt idx="4">
                  <c:v>2000</c:v>
                </c:pt>
                <c:pt idx="5">
                  <c:v>3000</c:v>
                </c:pt>
              </c:numCache>
            </c:numRef>
          </c:xVal>
          <c:yVal>
            <c:numRef>
              <c:f>COMET2_SH300!$I$32:$I$37</c:f>
              <c:numCache>
                <c:formatCode>0.00</c:formatCode>
                <c:ptCount val="6"/>
                <c:pt idx="0">
                  <c:v>195.91836734693877</c:v>
                </c:pt>
                <c:pt idx="1">
                  <c:v>192</c:v>
                </c:pt>
                <c:pt idx="2">
                  <c:v>184.61538461538461</c:v>
                </c:pt>
                <c:pt idx="3">
                  <c:v>177.77777777777777</c:v>
                </c:pt>
                <c:pt idx="4">
                  <c:v>160</c:v>
                </c:pt>
                <c:pt idx="5">
                  <c:v>145.45454545454547</c:v>
                </c:pt>
              </c:numCache>
            </c:numRef>
          </c:yVal>
          <c:smooth val="0"/>
          <c:extLst>
            <c:ext xmlns:c16="http://schemas.microsoft.com/office/drawing/2014/chart" uri="{C3380CC4-5D6E-409C-BE32-E72D297353CC}">
              <c16:uniqueId val="{00000005-9B3F-4DD1-BD28-30B554C0C8A0}"/>
            </c:ext>
          </c:extLst>
        </c:ser>
        <c:ser>
          <c:idx val="3"/>
          <c:order val="3"/>
          <c:tx>
            <c:strRef>
              <c:f>COMET2_SH300!$B$25</c:f>
              <c:strCache>
                <c:ptCount val="1"/>
                <c:pt idx="0">
                  <c:v>400</c:v>
                </c:pt>
              </c:strCache>
            </c:strRef>
          </c:tx>
          <c:spPr>
            <a:ln w="25400" cap="rnd">
              <a:noFill/>
              <a:round/>
            </a:ln>
            <a:effectLst/>
          </c:spPr>
          <c:marker>
            <c:symbol val="circle"/>
            <c:size val="5"/>
            <c:spPr>
              <a:solidFill>
                <a:schemeClr val="accent4"/>
              </a:solidFill>
              <a:ln w="9525">
                <a:solidFill>
                  <a:schemeClr val="accent4"/>
                </a:solidFill>
              </a:ln>
              <a:effectLst/>
            </c:spPr>
          </c:marker>
          <c:trendline>
            <c:spPr>
              <a:ln w="19050" cap="rnd">
                <a:solidFill>
                  <a:schemeClr val="accent4"/>
                </a:solidFill>
                <a:prstDash val="sysDot"/>
              </a:ln>
              <a:effectLst/>
            </c:spPr>
            <c:trendlineType val="poly"/>
            <c:order val="2"/>
            <c:dispRSqr val="0"/>
            <c:dispEq val="0"/>
          </c:trendline>
          <c:xVal>
            <c:numRef>
              <c:f>COMET2_SH300!$A$25:$A$30</c:f>
              <c:numCache>
                <c:formatCode>General</c:formatCode>
                <c:ptCount val="6"/>
                <c:pt idx="0">
                  <c:v>0</c:v>
                </c:pt>
                <c:pt idx="1">
                  <c:v>100</c:v>
                </c:pt>
                <c:pt idx="2">
                  <c:v>500</c:v>
                </c:pt>
                <c:pt idx="3">
                  <c:v>1000</c:v>
                </c:pt>
                <c:pt idx="4">
                  <c:v>2000</c:v>
                </c:pt>
                <c:pt idx="5">
                  <c:v>3000</c:v>
                </c:pt>
              </c:numCache>
            </c:numRef>
          </c:xVal>
          <c:yVal>
            <c:numRef>
              <c:f>COMET2_SH300!$I$25:$I$30</c:f>
              <c:numCache>
                <c:formatCode>0.00</c:formatCode>
                <c:ptCount val="6"/>
                <c:pt idx="0">
                  <c:v>129.72972972972974</c:v>
                </c:pt>
                <c:pt idx="1">
                  <c:v>126.31578947368421</c:v>
                </c:pt>
                <c:pt idx="2">
                  <c:v>120</c:v>
                </c:pt>
                <c:pt idx="3">
                  <c:v>117.07317073170732</c:v>
                </c:pt>
                <c:pt idx="4">
                  <c:v>106.66666666666667</c:v>
                </c:pt>
                <c:pt idx="5">
                  <c:v>97.959183673469383</c:v>
                </c:pt>
              </c:numCache>
            </c:numRef>
          </c:yVal>
          <c:smooth val="0"/>
          <c:extLst>
            <c:ext xmlns:c16="http://schemas.microsoft.com/office/drawing/2014/chart" uri="{C3380CC4-5D6E-409C-BE32-E72D297353CC}">
              <c16:uniqueId val="{00000007-9B3F-4DD1-BD28-30B554C0C8A0}"/>
            </c:ext>
          </c:extLst>
        </c:ser>
        <c:ser>
          <c:idx val="4"/>
          <c:order val="4"/>
          <c:tx>
            <c:strRef>
              <c:f>COMET2_SH300!$B$18</c:f>
              <c:strCache>
                <c:ptCount val="1"/>
                <c:pt idx="0">
                  <c:v>200</c:v>
                </c:pt>
              </c:strCache>
            </c:strRef>
          </c:tx>
          <c:spPr>
            <a:ln w="25400" cap="rnd">
              <a:noFill/>
              <a:round/>
            </a:ln>
            <a:effectLst/>
          </c:spPr>
          <c:marker>
            <c:symbol val="circle"/>
            <c:size val="5"/>
            <c:spPr>
              <a:solidFill>
                <a:schemeClr val="accent5"/>
              </a:solidFill>
              <a:ln w="9525">
                <a:solidFill>
                  <a:schemeClr val="accent5"/>
                </a:solidFill>
              </a:ln>
              <a:effectLst/>
            </c:spPr>
          </c:marker>
          <c:trendline>
            <c:spPr>
              <a:ln w="19050" cap="rnd">
                <a:solidFill>
                  <a:schemeClr val="accent5"/>
                </a:solidFill>
                <a:prstDash val="sysDot"/>
              </a:ln>
              <a:effectLst/>
            </c:spPr>
            <c:trendlineType val="power"/>
            <c:dispRSqr val="0"/>
            <c:dispEq val="0"/>
          </c:trendline>
          <c:trendline>
            <c:spPr>
              <a:ln w="19050" cap="rnd">
                <a:solidFill>
                  <a:schemeClr val="accent5"/>
                </a:solidFill>
                <a:prstDash val="sysDot"/>
              </a:ln>
              <a:effectLst/>
            </c:spPr>
            <c:trendlineType val="poly"/>
            <c:order val="2"/>
            <c:dispRSqr val="0"/>
            <c:dispEq val="0"/>
          </c:trendline>
          <c:xVal>
            <c:numRef>
              <c:f>COMET2_SH300!$A$18:$A$23</c:f>
              <c:numCache>
                <c:formatCode>General</c:formatCode>
                <c:ptCount val="6"/>
                <c:pt idx="0">
                  <c:v>0</c:v>
                </c:pt>
                <c:pt idx="1">
                  <c:v>100</c:v>
                </c:pt>
                <c:pt idx="2">
                  <c:v>500</c:v>
                </c:pt>
                <c:pt idx="3">
                  <c:v>1000</c:v>
                </c:pt>
                <c:pt idx="4">
                  <c:v>2000</c:v>
                </c:pt>
                <c:pt idx="5">
                  <c:v>3000</c:v>
                </c:pt>
              </c:numCache>
            </c:numRef>
          </c:xVal>
          <c:yVal>
            <c:numRef>
              <c:f>COMET2_SH300!$P$18:$P$23</c:f>
              <c:numCache>
                <c:formatCode>General</c:formatCode>
                <c:ptCount val="6"/>
                <c:pt idx="0">
                  <c:v>42.666666666666664</c:v>
                </c:pt>
                <c:pt idx="1">
                  <c:v>41.333333333333329</c:v>
                </c:pt>
                <c:pt idx="2">
                  <c:v>40.666666666666664</c:v>
                </c:pt>
                <c:pt idx="3">
                  <c:v>38</c:v>
                </c:pt>
                <c:pt idx="4">
                  <c:v>35.333333333333329</c:v>
                </c:pt>
                <c:pt idx="5">
                  <c:v>32.666666666666664</c:v>
                </c:pt>
              </c:numCache>
            </c:numRef>
          </c:yVal>
          <c:smooth val="0"/>
          <c:extLst>
            <c:ext xmlns:c16="http://schemas.microsoft.com/office/drawing/2014/chart" uri="{C3380CC4-5D6E-409C-BE32-E72D297353CC}">
              <c16:uniqueId val="{0000000A-9B3F-4DD1-BD28-30B554C0C8A0}"/>
            </c:ext>
          </c:extLst>
        </c:ser>
        <c:ser>
          <c:idx val="5"/>
          <c:order val="5"/>
          <c:tx>
            <c:strRef>
              <c:f>COMET2_SH300!$B$11</c:f>
              <c:strCache>
                <c:ptCount val="1"/>
                <c:pt idx="0">
                  <c:v>100</c:v>
                </c:pt>
              </c:strCache>
            </c:strRef>
          </c:tx>
          <c:spPr>
            <a:ln w="25400" cap="rnd">
              <a:noFill/>
              <a:round/>
            </a:ln>
            <a:effectLst/>
          </c:spPr>
          <c:marker>
            <c:symbol val="circle"/>
            <c:size val="5"/>
            <c:spPr>
              <a:solidFill>
                <a:schemeClr val="accent6"/>
              </a:solidFill>
              <a:ln w="9525">
                <a:solidFill>
                  <a:schemeClr val="accent6"/>
                </a:solidFill>
              </a:ln>
              <a:effectLst/>
            </c:spPr>
          </c:marker>
          <c:trendline>
            <c:spPr>
              <a:ln w="19050" cap="rnd">
                <a:solidFill>
                  <a:schemeClr val="accent6"/>
                </a:solidFill>
                <a:prstDash val="sysDot"/>
              </a:ln>
              <a:effectLst/>
            </c:spPr>
            <c:trendlineType val="poly"/>
            <c:order val="2"/>
            <c:dispRSqr val="0"/>
            <c:dispEq val="0"/>
          </c:trendline>
          <c:xVal>
            <c:numRef>
              <c:f>COMET2_SH300!$A$11:$A$16</c:f>
              <c:numCache>
                <c:formatCode>General</c:formatCode>
                <c:ptCount val="6"/>
                <c:pt idx="0">
                  <c:v>0</c:v>
                </c:pt>
                <c:pt idx="1">
                  <c:v>100</c:v>
                </c:pt>
                <c:pt idx="2">
                  <c:v>500</c:v>
                </c:pt>
                <c:pt idx="3">
                  <c:v>1000</c:v>
                </c:pt>
                <c:pt idx="4">
                  <c:v>2000</c:v>
                </c:pt>
                <c:pt idx="5">
                  <c:v>3000</c:v>
                </c:pt>
              </c:numCache>
            </c:numRef>
          </c:xVal>
          <c:yVal>
            <c:numRef>
              <c:f>COMET2_SH300!$P$11:$P$16</c:f>
              <c:numCache>
                <c:formatCode>General</c:formatCode>
                <c:ptCount val="6"/>
                <c:pt idx="0">
                  <c:v>32</c:v>
                </c:pt>
                <c:pt idx="1">
                  <c:v>31</c:v>
                </c:pt>
                <c:pt idx="2">
                  <c:v>29</c:v>
                </c:pt>
                <c:pt idx="3">
                  <c:v>28</c:v>
                </c:pt>
                <c:pt idx="4">
                  <c:v>26</c:v>
                </c:pt>
                <c:pt idx="5">
                  <c:v>24</c:v>
                </c:pt>
              </c:numCache>
            </c:numRef>
          </c:yVal>
          <c:smooth val="0"/>
          <c:extLst>
            <c:ext xmlns:c16="http://schemas.microsoft.com/office/drawing/2014/chart" uri="{C3380CC4-5D6E-409C-BE32-E72D297353CC}">
              <c16:uniqueId val="{0000000C-9B3F-4DD1-BD28-30B554C0C8A0}"/>
            </c:ext>
          </c:extLst>
        </c:ser>
        <c:dLbls>
          <c:showLegendKey val="0"/>
          <c:showVal val="0"/>
          <c:showCatName val="0"/>
          <c:showSerName val="0"/>
          <c:showPercent val="0"/>
          <c:showBubbleSize val="0"/>
        </c:dLbls>
        <c:axId val="705849336"/>
        <c:axId val="705839168"/>
      </c:scatterChart>
      <c:valAx>
        <c:axId val="70584933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Pressure (psi)</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39168"/>
        <c:crosses val="autoZero"/>
        <c:crossBetween val="midCat"/>
        <c:majorUnit val="100"/>
      </c:valAx>
      <c:valAx>
        <c:axId val="705839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a:t>
                </a:r>
                <a:r>
                  <a:rPr lang="en-US" baseline="0"/>
                  <a:t> (L/d)</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49336"/>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COMET2_SH300!$O$78</c:f>
              <c:strCache>
                <c:ptCount val="1"/>
                <c:pt idx="0">
                  <c:v>flow</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COMET2_SH300!$N$79:$N$84</c:f>
              <c:numCache>
                <c:formatCode>General</c:formatCode>
                <c:ptCount val="6"/>
                <c:pt idx="0">
                  <c:v>9.9499999999999993</c:v>
                </c:pt>
                <c:pt idx="1">
                  <c:v>10.72</c:v>
                </c:pt>
                <c:pt idx="2">
                  <c:v>11.92</c:v>
                </c:pt>
                <c:pt idx="3">
                  <c:v>13.92</c:v>
                </c:pt>
                <c:pt idx="4">
                  <c:v>18.399999999999999</c:v>
                </c:pt>
                <c:pt idx="5">
                  <c:v>20.499999999999996</c:v>
                </c:pt>
              </c:numCache>
            </c:numRef>
          </c:xVal>
          <c:yVal>
            <c:numRef>
              <c:f>COMET2_SH300!$O$79:$O$84</c:f>
              <c:numCache>
                <c:formatCode>0.00</c:formatCode>
                <c:ptCount val="6"/>
                <c:pt idx="0">
                  <c:v>32</c:v>
                </c:pt>
                <c:pt idx="1">
                  <c:v>31</c:v>
                </c:pt>
                <c:pt idx="2">
                  <c:v>29</c:v>
                </c:pt>
                <c:pt idx="3">
                  <c:v>28</c:v>
                </c:pt>
                <c:pt idx="4">
                  <c:v>26</c:v>
                </c:pt>
                <c:pt idx="5">
                  <c:v>24</c:v>
                </c:pt>
              </c:numCache>
            </c:numRef>
          </c:yVal>
          <c:smooth val="0"/>
          <c:extLst>
            <c:ext xmlns:c16="http://schemas.microsoft.com/office/drawing/2014/chart" uri="{C3380CC4-5D6E-409C-BE32-E72D297353CC}">
              <c16:uniqueId val="{00000000-D9B7-4760-A7D6-41AA8C2C5D9B}"/>
            </c:ext>
          </c:extLst>
        </c:ser>
        <c:dLbls>
          <c:showLegendKey val="0"/>
          <c:showVal val="0"/>
          <c:showCatName val="0"/>
          <c:showSerName val="0"/>
          <c:showPercent val="0"/>
          <c:showBubbleSize val="0"/>
        </c:dLbls>
        <c:axId val="747196152"/>
        <c:axId val="747196808"/>
      </c:scatterChart>
      <c:valAx>
        <c:axId val="7471961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196808"/>
        <c:crosses val="autoZero"/>
        <c:crossBetween val="midCat"/>
      </c:valAx>
      <c:valAx>
        <c:axId val="74719680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19615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COMET2_SH300!$Q$78</c:f>
              <c:strCache>
                <c:ptCount val="1"/>
                <c:pt idx="0">
                  <c:v>flow</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COMET2_SH300!$P$79:$P$84</c:f>
              <c:numCache>
                <c:formatCode>General</c:formatCode>
                <c:ptCount val="6"/>
                <c:pt idx="0">
                  <c:v>13.290000000000001</c:v>
                </c:pt>
                <c:pt idx="1">
                  <c:v>15.06</c:v>
                </c:pt>
                <c:pt idx="2">
                  <c:v>16.959999999999997</c:v>
                </c:pt>
                <c:pt idx="3">
                  <c:v>21.720000000000002</c:v>
                </c:pt>
                <c:pt idx="4">
                  <c:v>31.219999999999995</c:v>
                </c:pt>
                <c:pt idx="5">
                  <c:v>36.080000000000005</c:v>
                </c:pt>
              </c:numCache>
            </c:numRef>
          </c:xVal>
          <c:yVal>
            <c:numRef>
              <c:f>COMET2_SH300!$Q$79:$Q$84</c:f>
              <c:numCache>
                <c:formatCode>0.00</c:formatCode>
                <c:ptCount val="6"/>
                <c:pt idx="0">
                  <c:v>42.666666666666664</c:v>
                </c:pt>
                <c:pt idx="1">
                  <c:v>41.333333333333329</c:v>
                </c:pt>
                <c:pt idx="2">
                  <c:v>40.666666666666664</c:v>
                </c:pt>
                <c:pt idx="3">
                  <c:v>38</c:v>
                </c:pt>
                <c:pt idx="4">
                  <c:v>35.333333333333329</c:v>
                </c:pt>
                <c:pt idx="5">
                  <c:v>32.666666666666664</c:v>
                </c:pt>
              </c:numCache>
            </c:numRef>
          </c:yVal>
          <c:smooth val="0"/>
          <c:extLst>
            <c:ext xmlns:c16="http://schemas.microsoft.com/office/drawing/2014/chart" uri="{C3380CC4-5D6E-409C-BE32-E72D297353CC}">
              <c16:uniqueId val="{00000000-9735-4443-B1F6-ED402C2EE707}"/>
            </c:ext>
          </c:extLst>
        </c:ser>
        <c:dLbls>
          <c:showLegendKey val="0"/>
          <c:showVal val="0"/>
          <c:showCatName val="0"/>
          <c:showSerName val="0"/>
          <c:showPercent val="0"/>
          <c:showBubbleSize val="0"/>
        </c:dLbls>
        <c:axId val="744539552"/>
        <c:axId val="744537256"/>
      </c:scatterChart>
      <c:valAx>
        <c:axId val="7445395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537256"/>
        <c:crosses val="autoZero"/>
        <c:crossBetween val="midCat"/>
      </c:valAx>
      <c:valAx>
        <c:axId val="74453725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53955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Comet2 3</a:t>
            </a:r>
          </a:p>
          <a:p>
            <a:pPr>
              <a:defRPr/>
            </a:pPr>
            <a:r>
              <a:rPr lang="en-US"/>
              <a:t>00</a:t>
            </a:r>
          </a:p>
        </c:rich>
      </c:tx>
      <c:layout>
        <c:manualLayout>
          <c:xMode val="edge"/>
          <c:yMode val="edge"/>
          <c:x val="0.30150113401050277"/>
          <c:y val="2.178212048085317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COMET2_DH300!$B$46</c:f>
              <c:strCache>
                <c:ptCount val="1"/>
                <c:pt idx="0">
                  <c:v>1000</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1.4594119979606865E-2"/>
                  <c:y val="-0.1451468566429196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COMET2_DH300!$A$46:$A$51</c:f>
              <c:numCache>
                <c:formatCode>General</c:formatCode>
                <c:ptCount val="6"/>
                <c:pt idx="0">
                  <c:v>0</c:v>
                </c:pt>
                <c:pt idx="1">
                  <c:v>100</c:v>
                </c:pt>
                <c:pt idx="2">
                  <c:v>500</c:v>
                </c:pt>
                <c:pt idx="3">
                  <c:v>1000</c:v>
                </c:pt>
                <c:pt idx="4">
                  <c:v>2000</c:v>
                </c:pt>
                <c:pt idx="5">
                  <c:v>3000</c:v>
                </c:pt>
              </c:numCache>
            </c:numRef>
          </c:xVal>
          <c:yVal>
            <c:numRef>
              <c:f>COMET2_DH300!$I$46:$I$51</c:f>
              <c:numCache>
                <c:formatCode>0.00</c:formatCode>
                <c:ptCount val="6"/>
                <c:pt idx="0">
                  <c:v>623.37662337662334</c:v>
                </c:pt>
                <c:pt idx="1">
                  <c:v>600</c:v>
                </c:pt>
                <c:pt idx="2">
                  <c:v>564.70588235294122</c:v>
                </c:pt>
                <c:pt idx="3">
                  <c:v>533.33333333333337</c:v>
                </c:pt>
                <c:pt idx="4">
                  <c:v>436.36363636363637</c:v>
                </c:pt>
                <c:pt idx="5">
                  <c:v>342.85714285714283</c:v>
                </c:pt>
              </c:numCache>
            </c:numRef>
          </c:yVal>
          <c:smooth val="0"/>
          <c:extLst>
            <c:ext xmlns:c16="http://schemas.microsoft.com/office/drawing/2014/chart" uri="{C3380CC4-5D6E-409C-BE32-E72D297353CC}">
              <c16:uniqueId val="{00000001-8A94-4A15-9A1E-D8C1CC11E1B2}"/>
            </c:ext>
          </c:extLst>
        </c:ser>
        <c:ser>
          <c:idx val="1"/>
          <c:order val="1"/>
          <c:tx>
            <c:strRef>
              <c:f>COMET2_DH300!$B$39</c:f>
              <c:strCache>
                <c:ptCount val="1"/>
                <c:pt idx="0">
                  <c:v>800</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poly"/>
            <c:order val="2"/>
            <c:dispRSqr val="0"/>
            <c:dispEq val="0"/>
          </c:trendline>
          <c:xVal>
            <c:numRef>
              <c:f>COMET2_DH300!$A$39:$A$44</c:f>
              <c:numCache>
                <c:formatCode>General</c:formatCode>
                <c:ptCount val="6"/>
                <c:pt idx="0">
                  <c:v>0</c:v>
                </c:pt>
                <c:pt idx="1">
                  <c:v>100</c:v>
                </c:pt>
                <c:pt idx="2">
                  <c:v>500</c:v>
                </c:pt>
                <c:pt idx="3">
                  <c:v>1000</c:v>
                </c:pt>
                <c:pt idx="4">
                  <c:v>2000</c:v>
                </c:pt>
                <c:pt idx="5">
                  <c:v>3000</c:v>
                </c:pt>
              </c:numCache>
            </c:numRef>
          </c:xVal>
          <c:yVal>
            <c:numRef>
              <c:f>COMET2_DH300!$I$39:$I$44</c:f>
              <c:numCache>
                <c:formatCode>0.00</c:formatCode>
                <c:ptCount val="6"/>
                <c:pt idx="0">
                  <c:v>521.73913043478262</c:v>
                </c:pt>
                <c:pt idx="1">
                  <c:v>505.26315789473682</c:v>
                </c:pt>
                <c:pt idx="2">
                  <c:v>480</c:v>
                </c:pt>
                <c:pt idx="3">
                  <c:v>436.36363636363637</c:v>
                </c:pt>
                <c:pt idx="4">
                  <c:v>342.85714285714283</c:v>
                </c:pt>
                <c:pt idx="5">
                  <c:v>266.66666666666669</c:v>
                </c:pt>
              </c:numCache>
            </c:numRef>
          </c:yVal>
          <c:smooth val="0"/>
          <c:extLst>
            <c:ext xmlns:c16="http://schemas.microsoft.com/office/drawing/2014/chart" uri="{C3380CC4-5D6E-409C-BE32-E72D297353CC}">
              <c16:uniqueId val="{00000003-8A94-4A15-9A1E-D8C1CC11E1B2}"/>
            </c:ext>
          </c:extLst>
        </c:ser>
        <c:ser>
          <c:idx val="2"/>
          <c:order val="2"/>
          <c:tx>
            <c:strRef>
              <c:f>COMET2_DH300!$B$32</c:f>
              <c:strCache>
                <c:ptCount val="1"/>
                <c:pt idx="0">
                  <c:v>600</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poly"/>
            <c:order val="2"/>
            <c:dispRSqr val="0"/>
            <c:dispEq val="0"/>
          </c:trendline>
          <c:xVal>
            <c:numRef>
              <c:f>COMET2_DH300!$A$32:$A$37</c:f>
              <c:numCache>
                <c:formatCode>General</c:formatCode>
                <c:ptCount val="6"/>
                <c:pt idx="0">
                  <c:v>0</c:v>
                </c:pt>
                <c:pt idx="1">
                  <c:v>100</c:v>
                </c:pt>
                <c:pt idx="2">
                  <c:v>500</c:v>
                </c:pt>
                <c:pt idx="3">
                  <c:v>1000</c:v>
                </c:pt>
                <c:pt idx="4">
                  <c:v>2000</c:v>
                </c:pt>
                <c:pt idx="5">
                  <c:v>3000</c:v>
                </c:pt>
              </c:numCache>
            </c:numRef>
          </c:xVal>
          <c:yVal>
            <c:numRef>
              <c:f>COMET2_DH300!$I$32:$I$37</c:f>
              <c:numCache>
                <c:formatCode>0.00</c:formatCode>
                <c:ptCount val="6"/>
                <c:pt idx="0">
                  <c:v>384</c:v>
                </c:pt>
                <c:pt idx="1">
                  <c:v>369.23076923076923</c:v>
                </c:pt>
                <c:pt idx="2">
                  <c:v>342.85714285714283</c:v>
                </c:pt>
                <c:pt idx="3">
                  <c:v>320</c:v>
                </c:pt>
                <c:pt idx="4">
                  <c:v>252.63157894736841</c:v>
                </c:pt>
                <c:pt idx="5">
                  <c:v>208.69565217391303</c:v>
                </c:pt>
              </c:numCache>
            </c:numRef>
          </c:yVal>
          <c:smooth val="0"/>
          <c:extLst>
            <c:ext xmlns:c16="http://schemas.microsoft.com/office/drawing/2014/chart" uri="{C3380CC4-5D6E-409C-BE32-E72D297353CC}">
              <c16:uniqueId val="{00000005-8A94-4A15-9A1E-D8C1CC11E1B2}"/>
            </c:ext>
          </c:extLst>
        </c:ser>
        <c:ser>
          <c:idx val="3"/>
          <c:order val="3"/>
          <c:tx>
            <c:strRef>
              <c:f>COMET2_DH300!$B$25</c:f>
              <c:strCache>
                <c:ptCount val="1"/>
                <c:pt idx="0">
                  <c:v>400</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trendline>
            <c:spPr>
              <a:ln w="19050" cap="rnd">
                <a:solidFill>
                  <a:schemeClr val="accent4"/>
                </a:solidFill>
                <a:prstDash val="sysDot"/>
              </a:ln>
              <a:effectLst/>
            </c:spPr>
            <c:trendlineType val="poly"/>
            <c:order val="2"/>
            <c:dispRSqr val="0"/>
            <c:dispEq val="0"/>
          </c:trendline>
          <c:xVal>
            <c:numRef>
              <c:f>COMET2_DH300!$A$25:$A$30</c:f>
              <c:numCache>
                <c:formatCode>General</c:formatCode>
                <c:ptCount val="6"/>
                <c:pt idx="0">
                  <c:v>0</c:v>
                </c:pt>
                <c:pt idx="1">
                  <c:v>100</c:v>
                </c:pt>
                <c:pt idx="2">
                  <c:v>500</c:v>
                </c:pt>
                <c:pt idx="3">
                  <c:v>1000</c:v>
                </c:pt>
                <c:pt idx="4">
                  <c:v>2000</c:v>
                </c:pt>
                <c:pt idx="5">
                  <c:v>3000</c:v>
                </c:pt>
              </c:numCache>
            </c:numRef>
          </c:xVal>
          <c:yVal>
            <c:numRef>
              <c:f>COMET2_DH300!$I$25:$I$30</c:f>
              <c:numCache>
                <c:formatCode>0.00</c:formatCode>
                <c:ptCount val="6"/>
                <c:pt idx="0">
                  <c:v>252.63157894736841</c:v>
                </c:pt>
                <c:pt idx="1">
                  <c:v>240</c:v>
                </c:pt>
                <c:pt idx="2">
                  <c:v>228.57142857142858</c:v>
                </c:pt>
                <c:pt idx="3">
                  <c:v>218.18181818181819</c:v>
                </c:pt>
                <c:pt idx="4">
                  <c:v>171.42857142857142</c:v>
                </c:pt>
                <c:pt idx="5">
                  <c:v>129.72972972972974</c:v>
                </c:pt>
              </c:numCache>
            </c:numRef>
          </c:yVal>
          <c:smooth val="0"/>
          <c:extLst>
            <c:ext xmlns:c16="http://schemas.microsoft.com/office/drawing/2014/chart" uri="{C3380CC4-5D6E-409C-BE32-E72D297353CC}">
              <c16:uniqueId val="{00000007-8A94-4A15-9A1E-D8C1CC11E1B2}"/>
            </c:ext>
          </c:extLst>
        </c:ser>
        <c:ser>
          <c:idx val="4"/>
          <c:order val="4"/>
          <c:tx>
            <c:strRef>
              <c:f>COMET2_DH300!$B$18</c:f>
              <c:strCache>
                <c:ptCount val="1"/>
                <c:pt idx="0">
                  <c:v>200</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trendline>
            <c:spPr>
              <a:ln w="19050" cap="rnd">
                <a:solidFill>
                  <a:schemeClr val="accent5"/>
                </a:solidFill>
                <a:prstDash val="sysDot"/>
              </a:ln>
              <a:effectLst/>
            </c:spPr>
            <c:trendlineType val="power"/>
            <c:dispRSqr val="0"/>
            <c:dispEq val="0"/>
          </c:trendline>
          <c:trendline>
            <c:spPr>
              <a:ln w="19050" cap="rnd">
                <a:solidFill>
                  <a:schemeClr val="accent5"/>
                </a:solidFill>
                <a:prstDash val="sysDot"/>
              </a:ln>
              <a:effectLst/>
            </c:spPr>
            <c:trendlineType val="poly"/>
            <c:order val="2"/>
            <c:dispRSqr val="0"/>
            <c:dispEq val="0"/>
          </c:trendline>
          <c:xVal>
            <c:numRef>
              <c:f>COMET2_DH300!$A$18:$A$23</c:f>
              <c:numCache>
                <c:formatCode>General</c:formatCode>
                <c:ptCount val="6"/>
                <c:pt idx="0">
                  <c:v>0</c:v>
                </c:pt>
                <c:pt idx="1">
                  <c:v>100</c:v>
                </c:pt>
                <c:pt idx="2">
                  <c:v>500</c:v>
                </c:pt>
                <c:pt idx="3">
                  <c:v>1000</c:v>
                </c:pt>
                <c:pt idx="4">
                  <c:v>2000</c:v>
                </c:pt>
                <c:pt idx="5">
                  <c:v>3000</c:v>
                </c:pt>
              </c:numCache>
            </c:numRef>
          </c:xVal>
          <c:yVal>
            <c:numRef>
              <c:f>COMET2_DH300!$P$18:$P$23</c:f>
              <c:numCache>
                <c:formatCode>General</c:formatCode>
                <c:ptCount val="6"/>
                <c:pt idx="0">
                  <c:v>123.07692307692307</c:v>
                </c:pt>
                <c:pt idx="1">
                  <c:v>114.28571428571428</c:v>
                </c:pt>
                <c:pt idx="2">
                  <c:v>106.66666666666666</c:v>
                </c:pt>
                <c:pt idx="3">
                  <c:v>100</c:v>
                </c:pt>
                <c:pt idx="4">
                  <c:v>84.210526315789465</c:v>
                </c:pt>
                <c:pt idx="5">
                  <c:v>80</c:v>
                </c:pt>
              </c:numCache>
            </c:numRef>
          </c:yVal>
          <c:smooth val="0"/>
          <c:extLst>
            <c:ext xmlns:c16="http://schemas.microsoft.com/office/drawing/2014/chart" uri="{C3380CC4-5D6E-409C-BE32-E72D297353CC}">
              <c16:uniqueId val="{0000000A-8A94-4A15-9A1E-D8C1CC11E1B2}"/>
            </c:ext>
          </c:extLst>
        </c:ser>
        <c:ser>
          <c:idx val="5"/>
          <c:order val="5"/>
          <c:tx>
            <c:strRef>
              <c:f>COMET2_DH300!$B$11</c:f>
              <c:strCache>
                <c:ptCount val="1"/>
                <c:pt idx="0">
                  <c:v>100</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trendline>
            <c:spPr>
              <a:ln w="19050" cap="rnd">
                <a:solidFill>
                  <a:schemeClr val="accent6"/>
                </a:solidFill>
                <a:prstDash val="sysDot"/>
              </a:ln>
              <a:effectLst/>
            </c:spPr>
            <c:trendlineType val="poly"/>
            <c:order val="2"/>
            <c:dispRSqr val="0"/>
            <c:dispEq val="0"/>
          </c:trendline>
          <c:xVal>
            <c:numRef>
              <c:f>COMET2_DH300!$A$11:$A$16</c:f>
              <c:numCache>
                <c:formatCode>General</c:formatCode>
                <c:ptCount val="6"/>
                <c:pt idx="0">
                  <c:v>0</c:v>
                </c:pt>
                <c:pt idx="1">
                  <c:v>100</c:v>
                </c:pt>
                <c:pt idx="2">
                  <c:v>500</c:v>
                </c:pt>
                <c:pt idx="3">
                  <c:v>1000</c:v>
                </c:pt>
                <c:pt idx="4">
                  <c:v>2000</c:v>
                </c:pt>
                <c:pt idx="5">
                  <c:v>3000</c:v>
                </c:pt>
              </c:numCache>
            </c:numRef>
          </c:xVal>
          <c:yVal>
            <c:numRef>
              <c:f>COMET2_DH300!$P$11:$P$16</c:f>
              <c:numCache>
                <c:formatCode>General</c:formatCode>
                <c:ptCount val="6"/>
                <c:pt idx="0">
                  <c:v>62</c:v>
                </c:pt>
                <c:pt idx="1">
                  <c:v>57</c:v>
                </c:pt>
                <c:pt idx="2">
                  <c:v>53</c:v>
                </c:pt>
                <c:pt idx="3">
                  <c:v>49</c:v>
                </c:pt>
                <c:pt idx="4">
                  <c:v>41</c:v>
                </c:pt>
                <c:pt idx="5">
                  <c:v>33</c:v>
                </c:pt>
              </c:numCache>
            </c:numRef>
          </c:yVal>
          <c:smooth val="0"/>
          <c:extLst>
            <c:ext xmlns:c16="http://schemas.microsoft.com/office/drawing/2014/chart" uri="{C3380CC4-5D6E-409C-BE32-E72D297353CC}">
              <c16:uniqueId val="{0000000C-8A94-4A15-9A1E-D8C1CC11E1B2}"/>
            </c:ext>
          </c:extLst>
        </c:ser>
        <c:dLbls>
          <c:showLegendKey val="0"/>
          <c:showVal val="0"/>
          <c:showCatName val="0"/>
          <c:showSerName val="0"/>
          <c:showPercent val="0"/>
          <c:showBubbleSize val="0"/>
        </c:dLbls>
        <c:axId val="705849336"/>
        <c:axId val="705839168"/>
      </c:scatterChart>
      <c:valAx>
        <c:axId val="70584933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Pressure (psi)</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39168"/>
        <c:crosses val="autoZero"/>
        <c:crossBetween val="midCat"/>
        <c:majorUnit val="100"/>
      </c:valAx>
      <c:valAx>
        <c:axId val="705839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a:t>
                </a:r>
                <a:r>
                  <a:rPr lang="en-US" baseline="0"/>
                  <a:t> (L/d)</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49336"/>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200</a:t>
            </a:r>
            <a:r>
              <a:rPr lang="en-US" baseline="0"/>
              <a:t> rpm</a:t>
            </a:r>
          </a:p>
        </c:rich>
      </c:tx>
      <c:layout>
        <c:manualLayout>
          <c:xMode val="edge"/>
          <c:yMode val="edge"/>
          <c:x val="0.36782633420822403"/>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COMET2_DH300!$O$84:$O$89</c:f>
              <c:numCache>
                <c:formatCode>General</c:formatCode>
                <c:ptCount val="6"/>
                <c:pt idx="0">
                  <c:v>11.529999999999998</c:v>
                </c:pt>
                <c:pt idx="1">
                  <c:v>14.5</c:v>
                </c:pt>
                <c:pt idx="2">
                  <c:v>17.899999999999999</c:v>
                </c:pt>
                <c:pt idx="3">
                  <c:v>24.6</c:v>
                </c:pt>
                <c:pt idx="4">
                  <c:v>41.559999999999995</c:v>
                </c:pt>
                <c:pt idx="5">
                  <c:v>46.7</c:v>
                </c:pt>
              </c:numCache>
            </c:numRef>
          </c:xVal>
          <c:yVal>
            <c:numRef>
              <c:f>COMET2_DH300!$P$84:$P$89</c:f>
              <c:numCache>
                <c:formatCode>0.00</c:formatCode>
                <c:ptCount val="6"/>
                <c:pt idx="0">
                  <c:v>123.07692307692307</c:v>
                </c:pt>
                <c:pt idx="1">
                  <c:v>114.28571428571428</c:v>
                </c:pt>
                <c:pt idx="2">
                  <c:v>106.66666666666666</c:v>
                </c:pt>
                <c:pt idx="3">
                  <c:v>100</c:v>
                </c:pt>
                <c:pt idx="4">
                  <c:v>84.210526315789465</c:v>
                </c:pt>
                <c:pt idx="5">
                  <c:v>80</c:v>
                </c:pt>
              </c:numCache>
            </c:numRef>
          </c:yVal>
          <c:smooth val="0"/>
          <c:extLst>
            <c:ext xmlns:c16="http://schemas.microsoft.com/office/drawing/2014/chart" uri="{C3380CC4-5D6E-409C-BE32-E72D297353CC}">
              <c16:uniqueId val="{00000000-65B8-4E71-A37E-BEB8BE13ACDA}"/>
            </c:ext>
          </c:extLst>
        </c:ser>
        <c:dLbls>
          <c:showLegendKey val="0"/>
          <c:showVal val="0"/>
          <c:showCatName val="0"/>
          <c:showSerName val="0"/>
          <c:showPercent val="0"/>
          <c:showBubbleSize val="0"/>
        </c:dLbls>
        <c:axId val="744525776"/>
        <c:axId val="744525120"/>
      </c:scatterChart>
      <c:valAx>
        <c:axId val="7445257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525120"/>
        <c:crosses val="autoZero"/>
        <c:crossBetween val="midCat"/>
      </c:valAx>
      <c:valAx>
        <c:axId val="7445251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52577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100 rpm</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COMET2_DH300!$M$84:$M$89</c:f>
              <c:numCache>
                <c:formatCode>General</c:formatCode>
                <c:ptCount val="6"/>
                <c:pt idx="0">
                  <c:v>7.9699999999999989</c:v>
                </c:pt>
                <c:pt idx="1">
                  <c:v>9.82</c:v>
                </c:pt>
                <c:pt idx="2">
                  <c:v>11.6</c:v>
                </c:pt>
                <c:pt idx="3">
                  <c:v>14.079999999999998</c:v>
                </c:pt>
                <c:pt idx="4">
                  <c:v>22.36</c:v>
                </c:pt>
                <c:pt idx="5">
                  <c:v>24.42</c:v>
                </c:pt>
              </c:numCache>
            </c:numRef>
          </c:xVal>
          <c:yVal>
            <c:numRef>
              <c:f>COMET2_DH300!$N$84:$N$89</c:f>
              <c:numCache>
                <c:formatCode>0.00</c:formatCode>
                <c:ptCount val="6"/>
                <c:pt idx="0">
                  <c:v>62</c:v>
                </c:pt>
                <c:pt idx="1">
                  <c:v>57</c:v>
                </c:pt>
                <c:pt idx="2">
                  <c:v>53</c:v>
                </c:pt>
                <c:pt idx="3">
                  <c:v>49</c:v>
                </c:pt>
                <c:pt idx="4">
                  <c:v>41</c:v>
                </c:pt>
                <c:pt idx="5">
                  <c:v>33</c:v>
                </c:pt>
              </c:numCache>
            </c:numRef>
          </c:yVal>
          <c:smooth val="0"/>
          <c:extLst>
            <c:ext xmlns:c16="http://schemas.microsoft.com/office/drawing/2014/chart" uri="{C3380CC4-5D6E-409C-BE32-E72D297353CC}">
              <c16:uniqueId val="{00000000-2B07-45C8-9805-28E33F0210C0}"/>
            </c:ext>
          </c:extLst>
        </c:ser>
        <c:dLbls>
          <c:showLegendKey val="0"/>
          <c:showVal val="0"/>
          <c:showCatName val="0"/>
          <c:showSerName val="0"/>
          <c:showPercent val="0"/>
          <c:showBubbleSize val="0"/>
        </c:dLbls>
        <c:axId val="747191888"/>
        <c:axId val="747205664"/>
      </c:scatterChart>
      <c:valAx>
        <c:axId val="747191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205664"/>
        <c:crosses val="autoZero"/>
        <c:crossBetween val="midCat"/>
      </c:valAx>
      <c:valAx>
        <c:axId val="74720566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19188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Comet2 500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'COMET2_HP-DH500'!$B$46</c:f>
              <c:strCache>
                <c:ptCount val="1"/>
                <c:pt idx="0">
                  <c:v>1000</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2.9306221152276109E-2"/>
                  <c:y val="-0.26337303363683739"/>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'COMET2_HP-DH500'!$A$46:$A$51</c:f>
              <c:numCache>
                <c:formatCode>General</c:formatCode>
                <c:ptCount val="6"/>
                <c:pt idx="0">
                  <c:v>0</c:v>
                </c:pt>
                <c:pt idx="1">
                  <c:v>500</c:v>
                </c:pt>
                <c:pt idx="2">
                  <c:v>1000</c:v>
                </c:pt>
                <c:pt idx="3">
                  <c:v>3000</c:v>
                </c:pt>
                <c:pt idx="4">
                  <c:v>4000</c:v>
                </c:pt>
                <c:pt idx="5">
                  <c:v>5000</c:v>
                </c:pt>
              </c:numCache>
            </c:numRef>
          </c:xVal>
          <c:yVal>
            <c:numRef>
              <c:f>'COMET2_HP-DH500'!$I$46:$I$51</c:f>
              <c:numCache>
                <c:formatCode>0.00</c:formatCode>
                <c:ptCount val="6"/>
                <c:pt idx="0">
                  <c:v>468</c:v>
                </c:pt>
                <c:pt idx="1">
                  <c:v>420</c:v>
                </c:pt>
                <c:pt idx="2">
                  <c:v>372</c:v>
                </c:pt>
                <c:pt idx="3">
                  <c:v>294</c:v>
                </c:pt>
                <c:pt idx="4">
                  <c:v>240</c:v>
                </c:pt>
                <c:pt idx="5">
                  <c:v>212</c:v>
                </c:pt>
              </c:numCache>
            </c:numRef>
          </c:yVal>
          <c:smooth val="0"/>
          <c:extLst>
            <c:ext xmlns:c16="http://schemas.microsoft.com/office/drawing/2014/chart" uri="{C3380CC4-5D6E-409C-BE32-E72D297353CC}">
              <c16:uniqueId val="{00000001-B76D-4896-8EF1-4661834F50D4}"/>
            </c:ext>
          </c:extLst>
        </c:ser>
        <c:ser>
          <c:idx val="1"/>
          <c:order val="1"/>
          <c:tx>
            <c:strRef>
              <c:f>'COMET2_HP-DH500'!$B$39</c:f>
              <c:strCache>
                <c:ptCount val="1"/>
                <c:pt idx="0">
                  <c:v>800</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poly"/>
            <c:order val="2"/>
            <c:dispRSqr val="0"/>
            <c:dispEq val="0"/>
          </c:trendline>
          <c:xVal>
            <c:numRef>
              <c:f>'COMET2_HP-DH500'!$A$39:$A$44</c:f>
              <c:numCache>
                <c:formatCode>General</c:formatCode>
                <c:ptCount val="6"/>
                <c:pt idx="0">
                  <c:v>0</c:v>
                </c:pt>
                <c:pt idx="1">
                  <c:v>500</c:v>
                </c:pt>
                <c:pt idx="2">
                  <c:v>1000</c:v>
                </c:pt>
                <c:pt idx="3">
                  <c:v>3000</c:v>
                </c:pt>
                <c:pt idx="4">
                  <c:v>4000</c:v>
                </c:pt>
                <c:pt idx="5">
                  <c:v>5000</c:v>
                </c:pt>
              </c:numCache>
            </c:numRef>
          </c:xVal>
          <c:yVal>
            <c:numRef>
              <c:f>'COMET2_HP-DH500'!$I$39:$I$44</c:f>
              <c:numCache>
                <c:formatCode>0.00</c:formatCode>
                <c:ptCount val="6"/>
                <c:pt idx="0">
                  <c:v>372</c:v>
                </c:pt>
                <c:pt idx="1">
                  <c:v>336</c:v>
                </c:pt>
                <c:pt idx="2">
                  <c:v>308</c:v>
                </c:pt>
                <c:pt idx="3">
                  <c:v>236</c:v>
                </c:pt>
                <c:pt idx="4">
                  <c:v>200</c:v>
                </c:pt>
                <c:pt idx="5">
                  <c:v>168</c:v>
                </c:pt>
              </c:numCache>
            </c:numRef>
          </c:yVal>
          <c:smooth val="0"/>
          <c:extLst>
            <c:ext xmlns:c16="http://schemas.microsoft.com/office/drawing/2014/chart" uri="{C3380CC4-5D6E-409C-BE32-E72D297353CC}">
              <c16:uniqueId val="{00000003-B76D-4896-8EF1-4661834F50D4}"/>
            </c:ext>
          </c:extLst>
        </c:ser>
        <c:ser>
          <c:idx val="2"/>
          <c:order val="2"/>
          <c:tx>
            <c:strRef>
              <c:f>'COMET2_HP-DH500'!$B$32</c:f>
              <c:strCache>
                <c:ptCount val="1"/>
                <c:pt idx="0">
                  <c:v>600</c:v>
                </c:pt>
              </c:strCache>
            </c:strRef>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poly"/>
            <c:order val="2"/>
            <c:dispRSqr val="0"/>
            <c:dispEq val="0"/>
          </c:trendline>
          <c:xVal>
            <c:numRef>
              <c:f>'COMET2_HP-DH500'!$A$32:$A$37</c:f>
              <c:numCache>
                <c:formatCode>General</c:formatCode>
                <c:ptCount val="6"/>
                <c:pt idx="0">
                  <c:v>0</c:v>
                </c:pt>
                <c:pt idx="1">
                  <c:v>500</c:v>
                </c:pt>
                <c:pt idx="2">
                  <c:v>1000</c:v>
                </c:pt>
                <c:pt idx="3">
                  <c:v>3000</c:v>
                </c:pt>
                <c:pt idx="4">
                  <c:v>4000</c:v>
                </c:pt>
                <c:pt idx="5">
                  <c:v>5000</c:v>
                </c:pt>
              </c:numCache>
            </c:numRef>
          </c:xVal>
          <c:yVal>
            <c:numRef>
              <c:f>'COMET2_HP-DH500'!$I$32:$I$37</c:f>
              <c:numCache>
                <c:formatCode>0.00</c:formatCode>
                <c:ptCount val="6"/>
                <c:pt idx="0">
                  <c:v>276</c:v>
                </c:pt>
                <c:pt idx="1">
                  <c:v>256</c:v>
                </c:pt>
                <c:pt idx="2">
                  <c:v>240</c:v>
                </c:pt>
                <c:pt idx="3">
                  <c:v>184</c:v>
                </c:pt>
                <c:pt idx="4">
                  <c:v>152</c:v>
                </c:pt>
                <c:pt idx="5">
                  <c:v>146</c:v>
                </c:pt>
              </c:numCache>
            </c:numRef>
          </c:yVal>
          <c:smooth val="0"/>
          <c:extLst>
            <c:ext xmlns:c16="http://schemas.microsoft.com/office/drawing/2014/chart" uri="{C3380CC4-5D6E-409C-BE32-E72D297353CC}">
              <c16:uniqueId val="{00000005-B76D-4896-8EF1-4661834F50D4}"/>
            </c:ext>
          </c:extLst>
        </c:ser>
        <c:ser>
          <c:idx val="3"/>
          <c:order val="3"/>
          <c:tx>
            <c:strRef>
              <c:f>'COMET2_HP-DH500'!$B$25</c:f>
              <c:strCache>
                <c:ptCount val="1"/>
                <c:pt idx="0">
                  <c:v>400</c:v>
                </c:pt>
              </c:strCache>
            </c:strRef>
          </c:tx>
          <c:spPr>
            <a:ln w="25400" cap="rnd">
              <a:noFill/>
              <a:round/>
            </a:ln>
            <a:effectLst/>
          </c:spPr>
          <c:marker>
            <c:symbol val="circle"/>
            <c:size val="5"/>
            <c:spPr>
              <a:solidFill>
                <a:schemeClr val="accent4"/>
              </a:solidFill>
              <a:ln w="9525">
                <a:solidFill>
                  <a:schemeClr val="accent4"/>
                </a:solidFill>
              </a:ln>
              <a:effectLst/>
            </c:spPr>
          </c:marker>
          <c:trendline>
            <c:spPr>
              <a:ln w="19050" cap="rnd">
                <a:solidFill>
                  <a:schemeClr val="accent4"/>
                </a:solidFill>
                <a:prstDash val="sysDot"/>
              </a:ln>
              <a:effectLst/>
            </c:spPr>
            <c:trendlineType val="poly"/>
            <c:order val="2"/>
            <c:dispRSqr val="0"/>
            <c:dispEq val="0"/>
          </c:trendline>
          <c:xVal>
            <c:numRef>
              <c:f>'COMET2_HP-DH500'!$A$25:$A$30</c:f>
              <c:numCache>
                <c:formatCode>General</c:formatCode>
                <c:ptCount val="6"/>
                <c:pt idx="0">
                  <c:v>0</c:v>
                </c:pt>
                <c:pt idx="1">
                  <c:v>500</c:v>
                </c:pt>
                <c:pt idx="2">
                  <c:v>1000</c:v>
                </c:pt>
                <c:pt idx="3">
                  <c:v>3000</c:v>
                </c:pt>
                <c:pt idx="4">
                  <c:v>4000</c:v>
                </c:pt>
                <c:pt idx="5">
                  <c:v>5000</c:v>
                </c:pt>
              </c:numCache>
            </c:numRef>
          </c:xVal>
          <c:yVal>
            <c:numRef>
              <c:f>'COMET2_HP-DH500'!$I$25:$I$30</c:f>
              <c:numCache>
                <c:formatCode>0.00</c:formatCode>
                <c:ptCount val="6"/>
                <c:pt idx="0">
                  <c:v>176</c:v>
                </c:pt>
                <c:pt idx="1">
                  <c:v>156</c:v>
                </c:pt>
                <c:pt idx="2">
                  <c:v>148</c:v>
                </c:pt>
                <c:pt idx="3">
                  <c:v>116</c:v>
                </c:pt>
                <c:pt idx="4">
                  <c:v>102.27272727272727</c:v>
                </c:pt>
                <c:pt idx="5">
                  <c:v>96</c:v>
                </c:pt>
              </c:numCache>
            </c:numRef>
          </c:yVal>
          <c:smooth val="0"/>
          <c:extLst>
            <c:ext xmlns:c16="http://schemas.microsoft.com/office/drawing/2014/chart" uri="{C3380CC4-5D6E-409C-BE32-E72D297353CC}">
              <c16:uniqueId val="{00000007-B76D-4896-8EF1-4661834F50D4}"/>
            </c:ext>
          </c:extLst>
        </c:ser>
        <c:ser>
          <c:idx val="4"/>
          <c:order val="4"/>
          <c:tx>
            <c:strRef>
              <c:f>'COMET2_HP-DH500'!$B$18</c:f>
              <c:strCache>
                <c:ptCount val="1"/>
                <c:pt idx="0">
                  <c:v>200</c:v>
                </c:pt>
              </c:strCache>
            </c:strRef>
          </c:tx>
          <c:spPr>
            <a:ln w="25400" cap="rnd">
              <a:noFill/>
              <a:round/>
            </a:ln>
            <a:effectLst/>
          </c:spPr>
          <c:marker>
            <c:symbol val="circle"/>
            <c:size val="5"/>
            <c:spPr>
              <a:solidFill>
                <a:schemeClr val="accent5"/>
              </a:solidFill>
              <a:ln w="9525">
                <a:solidFill>
                  <a:schemeClr val="accent5"/>
                </a:solidFill>
              </a:ln>
              <a:effectLst/>
            </c:spPr>
          </c:marker>
          <c:trendline>
            <c:spPr>
              <a:ln w="19050" cap="rnd">
                <a:solidFill>
                  <a:schemeClr val="accent5"/>
                </a:solidFill>
                <a:prstDash val="sysDot"/>
              </a:ln>
              <a:effectLst/>
            </c:spPr>
            <c:trendlineType val="power"/>
            <c:dispRSqr val="0"/>
            <c:dispEq val="0"/>
          </c:trendline>
          <c:trendline>
            <c:spPr>
              <a:ln w="19050" cap="rnd">
                <a:solidFill>
                  <a:schemeClr val="accent5"/>
                </a:solidFill>
                <a:prstDash val="sysDot"/>
              </a:ln>
              <a:effectLst/>
            </c:spPr>
            <c:trendlineType val="poly"/>
            <c:order val="2"/>
            <c:dispRSqr val="0"/>
            <c:dispEq val="0"/>
          </c:trendline>
          <c:xVal>
            <c:numRef>
              <c:f>'COMET2_HP-DH500'!$A$18:$A$23</c:f>
              <c:numCache>
                <c:formatCode>General</c:formatCode>
                <c:ptCount val="6"/>
                <c:pt idx="0">
                  <c:v>0</c:v>
                </c:pt>
                <c:pt idx="1">
                  <c:v>500</c:v>
                </c:pt>
                <c:pt idx="2">
                  <c:v>1000</c:v>
                </c:pt>
                <c:pt idx="3">
                  <c:v>3000</c:v>
                </c:pt>
                <c:pt idx="4">
                  <c:v>4000</c:v>
                </c:pt>
                <c:pt idx="5">
                  <c:v>5000</c:v>
                </c:pt>
              </c:numCache>
            </c:numRef>
          </c:xVal>
          <c:yVal>
            <c:numRef>
              <c:f>'COMET2_HP-DH500'!$P$18:$P$23</c:f>
              <c:numCache>
                <c:formatCode>0.00</c:formatCode>
                <c:ptCount val="6"/>
              </c:numCache>
            </c:numRef>
          </c:yVal>
          <c:smooth val="0"/>
          <c:extLst>
            <c:ext xmlns:c16="http://schemas.microsoft.com/office/drawing/2014/chart" uri="{C3380CC4-5D6E-409C-BE32-E72D297353CC}">
              <c16:uniqueId val="{0000000A-B76D-4896-8EF1-4661834F50D4}"/>
            </c:ext>
          </c:extLst>
        </c:ser>
        <c:ser>
          <c:idx val="5"/>
          <c:order val="5"/>
          <c:tx>
            <c:strRef>
              <c:f>'COMET2_HP-DH500'!$B$11</c:f>
              <c:strCache>
                <c:ptCount val="1"/>
                <c:pt idx="0">
                  <c:v>100</c:v>
                </c:pt>
              </c:strCache>
            </c:strRef>
          </c:tx>
          <c:spPr>
            <a:ln w="25400" cap="rnd">
              <a:noFill/>
              <a:round/>
            </a:ln>
            <a:effectLst/>
          </c:spPr>
          <c:marker>
            <c:symbol val="circle"/>
            <c:size val="5"/>
            <c:spPr>
              <a:solidFill>
                <a:schemeClr val="accent6"/>
              </a:solidFill>
              <a:ln w="9525">
                <a:solidFill>
                  <a:schemeClr val="accent6"/>
                </a:solidFill>
              </a:ln>
              <a:effectLst/>
            </c:spPr>
          </c:marker>
          <c:trendline>
            <c:spPr>
              <a:ln w="19050" cap="rnd">
                <a:solidFill>
                  <a:schemeClr val="accent6"/>
                </a:solidFill>
                <a:prstDash val="sysDot"/>
              </a:ln>
              <a:effectLst/>
            </c:spPr>
            <c:trendlineType val="poly"/>
            <c:order val="2"/>
            <c:dispRSqr val="0"/>
            <c:dispEq val="0"/>
          </c:trendline>
          <c:xVal>
            <c:numRef>
              <c:f>'COMET2_HP-DH500'!$A$11:$A$16</c:f>
              <c:numCache>
                <c:formatCode>General</c:formatCode>
                <c:ptCount val="6"/>
                <c:pt idx="0">
                  <c:v>0</c:v>
                </c:pt>
                <c:pt idx="1">
                  <c:v>500</c:v>
                </c:pt>
                <c:pt idx="2">
                  <c:v>1000</c:v>
                </c:pt>
                <c:pt idx="3">
                  <c:v>3000</c:v>
                </c:pt>
                <c:pt idx="4">
                  <c:v>4000</c:v>
                </c:pt>
                <c:pt idx="5">
                  <c:v>5000</c:v>
                </c:pt>
              </c:numCache>
            </c:numRef>
          </c:xVal>
          <c:yVal>
            <c:numRef>
              <c:f>'COMET2_HP-DH500'!$P$11:$P$16</c:f>
              <c:numCache>
                <c:formatCode>0.00</c:formatCode>
                <c:ptCount val="6"/>
              </c:numCache>
            </c:numRef>
          </c:yVal>
          <c:smooth val="0"/>
          <c:extLst>
            <c:ext xmlns:c16="http://schemas.microsoft.com/office/drawing/2014/chart" uri="{C3380CC4-5D6E-409C-BE32-E72D297353CC}">
              <c16:uniqueId val="{0000000C-B76D-4896-8EF1-4661834F50D4}"/>
            </c:ext>
          </c:extLst>
        </c:ser>
        <c:dLbls>
          <c:showLegendKey val="0"/>
          <c:showVal val="0"/>
          <c:showCatName val="0"/>
          <c:showSerName val="0"/>
          <c:showPercent val="0"/>
          <c:showBubbleSize val="0"/>
        </c:dLbls>
        <c:axId val="705849336"/>
        <c:axId val="705839168"/>
      </c:scatterChart>
      <c:valAx>
        <c:axId val="70584933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Pressure (psi)</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39168"/>
        <c:crosses val="autoZero"/>
        <c:crossBetween val="midCat"/>
        <c:majorUnit val="100"/>
      </c:valAx>
      <c:valAx>
        <c:axId val="705839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a:t>
                </a:r>
                <a:r>
                  <a:rPr lang="en-US" baseline="0"/>
                  <a:t> (L/d)</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49336"/>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Comet2 100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'DH -COMET_100'!$B$46</c:f>
              <c:strCache>
                <c:ptCount val="1"/>
                <c:pt idx="0">
                  <c:v>1000</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xVal>
            <c:numRef>
              <c:f>'DH -COMET_100'!$A$46:$A$51</c:f>
              <c:numCache>
                <c:formatCode>General</c:formatCode>
                <c:ptCount val="6"/>
                <c:pt idx="0">
                  <c:v>0</c:v>
                </c:pt>
                <c:pt idx="1">
                  <c:v>100</c:v>
                </c:pt>
                <c:pt idx="2">
                  <c:v>250</c:v>
                </c:pt>
                <c:pt idx="3">
                  <c:v>500</c:v>
                </c:pt>
                <c:pt idx="4">
                  <c:v>750</c:v>
                </c:pt>
                <c:pt idx="5">
                  <c:v>1000</c:v>
                </c:pt>
              </c:numCache>
            </c:numRef>
          </c:xVal>
          <c:yVal>
            <c:numRef>
              <c:f>'DH -COMET_100'!$I$46:$I$51</c:f>
              <c:numCache>
                <c:formatCode>0.00</c:formatCode>
                <c:ptCount val="6"/>
                <c:pt idx="0">
                  <c:v>2042.5531914893618</c:v>
                </c:pt>
                <c:pt idx="1">
                  <c:v>1875</c:v>
                </c:pt>
                <c:pt idx="2">
                  <c:v>1759.5307917888563</c:v>
                </c:pt>
                <c:pt idx="3">
                  <c:v>1668.1146828844485</c:v>
                </c:pt>
                <c:pt idx="4">
                  <c:v>1462.9686071319718</c:v>
                </c:pt>
                <c:pt idx="5">
                  <c:v>1315.9698423577793</c:v>
                </c:pt>
              </c:numCache>
            </c:numRef>
          </c:yVal>
          <c:smooth val="0"/>
          <c:extLst>
            <c:ext xmlns:c16="http://schemas.microsoft.com/office/drawing/2014/chart" uri="{C3380CC4-5D6E-409C-BE32-E72D297353CC}">
              <c16:uniqueId val="{00000000-EACF-44EB-9EA1-1C515F46BB98}"/>
            </c:ext>
          </c:extLst>
        </c:ser>
        <c:ser>
          <c:idx val="1"/>
          <c:order val="1"/>
          <c:tx>
            <c:strRef>
              <c:f>'DH -COMET_100'!$B$39</c:f>
              <c:strCache>
                <c:ptCount val="1"/>
                <c:pt idx="0">
                  <c:v>800</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poly"/>
            <c:order val="2"/>
            <c:dispRSqr val="0"/>
            <c:dispEq val="0"/>
          </c:trendline>
          <c:xVal>
            <c:numRef>
              <c:f>'DH -COMET_100'!$A$39:$A$44</c:f>
              <c:numCache>
                <c:formatCode>General</c:formatCode>
                <c:ptCount val="6"/>
                <c:pt idx="0">
                  <c:v>0</c:v>
                </c:pt>
                <c:pt idx="1">
                  <c:v>100</c:v>
                </c:pt>
                <c:pt idx="2">
                  <c:v>250</c:v>
                </c:pt>
                <c:pt idx="3">
                  <c:v>500</c:v>
                </c:pt>
                <c:pt idx="4">
                  <c:v>750</c:v>
                </c:pt>
                <c:pt idx="5">
                  <c:v>1000</c:v>
                </c:pt>
              </c:numCache>
            </c:numRef>
          </c:xVal>
          <c:yVal>
            <c:numRef>
              <c:f>'DH -COMET_100'!$I$39:$I$44</c:f>
              <c:numCache>
                <c:formatCode>0.00</c:formatCode>
                <c:ptCount val="6"/>
                <c:pt idx="0">
                  <c:v>1593.0485155684287</c:v>
                </c:pt>
                <c:pt idx="1">
                  <c:v>1465.0388457269701</c:v>
                </c:pt>
                <c:pt idx="2">
                  <c:v>1365.3289201489449</c:v>
                </c:pt>
                <c:pt idx="3">
                  <c:v>1271.431323444423</c:v>
                </c:pt>
                <c:pt idx="4">
                  <c:v>1156.0693641618495</c:v>
                </c:pt>
                <c:pt idx="5">
                  <c:v>1024.5265445513814</c:v>
                </c:pt>
              </c:numCache>
            </c:numRef>
          </c:yVal>
          <c:smooth val="0"/>
          <c:extLst>
            <c:ext xmlns:c16="http://schemas.microsoft.com/office/drawing/2014/chart" uri="{C3380CC4-5D6E-409C-BE32-E72D297353CC}">
              <c16:uniqueId val="{00000003-55A9-483F-84E1-2B74A753D921}"/>
            </c:ext>
          </c:extLst>
        </c:ser>
        <c:ser>
          <c:idx val="2"/>
          <c:order val="2"/>
          <c:tx>
            <c:strRef>
              <c:f>'DH -COMET_100'!$B$32</c:f>
              <c:strCache>
                <c:ptCount val="1"/>
                <c:pt idx="0">
                  <c:v>600</c:v>
                </c:pt>
              </c:strCache>
            </c:strRef>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poly"/>
            <c:order val="2"/>
            <c:dispRSqr val="0"/>
            <c:dispEq val="0"/>
          </c:trendline>
          <c:xVal>
            <c:numRef>
              <c:f>'DH -COMET_100'!$A$32:$A$37</c:f>
              <c:numCache>
                <c:formatCode>General</c:formatCode>
                <c:ptCount val="6"/>
                <c:pt idx="0">
                  <c:v>0</c:v>
                </c:pt>
                <c:pt idx="1">
                  <c:v>100</c:v>
                </c:pt>
                <c:pt idx="2">
                  <c:v>250</c:v>
                </c:pt>
                <c:pt idx="3">
                  <c:v>500</c:v>
                </c:pt>
                <c:pt idx="4">
                  <c:v>750</c:v>
                </c:pt>
                <c:pt idx="5">
                  <c:v>1000</c:v>
                </c:pt>
              </c:numCache>
            </c:numRef>
          </c:xVal>
          <c:yVal>
            <c:numRef>
              <c:f>'DH -COMET_100'!$I$32:$I$37</c:f>
              <c:numCache>
                <c:formatCode>0.00</c:formatCode>
                <c:ptCount val="6"/>
                <c:pt idx="0">
                  <c:v>1165.991902834008</c:v>
                </c:pt>
                <c:pt idx="1">
                  <c:v>1030.3377218088151</c:v>
                </c:pt>
                <c:pt idx="2">
                  <c:v>953.89507154213027</c:v>
                </c:pt>
                <c:pt idx="3">
                  <c:v>893.07864053584717</c:v>
                </c:pt>
                <c:pt idx="4">
                  <c:v>809.17060013486173</c:v>
                </c:pt>
                <c:pt idx="5">
                  <c:v>719.56825904457321</c:v>
                </c:pt>
              </c:numCache>
            </c:numRef>
          </c:yVal>
          <c:smooth val="0"/>
          <c:extLst>
            <c:ext xmlns:c16="http://schemas.microsoft.com/office/drawing/2014/chart" uri="{C3380CC4-5D6E-409C-BE32-E72D297353CC}">
              <c16:uniqueId val="{00000004-55A9-483F-84E1-2B74A753D921}"/>
            </c:ext>
          </c:extLst>
        </c:ser>
        <c:ser>
          <c:idx val="3"/>
          <c:order val="3"/>
          <c:tx>
            <c:strRef>
              <c:f>'DH -COMET_100'!$B$25</c:f>
              <c:strCache>
                <c:ptCount val="1"/>
                <c:pt idx="0">
                  <c:v>400</c:v>
                </c:pt>
              </c:strCache>
            </c:strRef>
          </c:tx>
          <c:spPr>
            <a:ln w="25400" cap="rnd">
              <a:noFill/>
              <a:round/>
            </a:ln>
            <a:effectLst/>
          </c:spPr>
          <c:marker>
            <c:symbol val="circle"/>
            <c:size val="5"/>
            <c:spPr>
              <a:solidFill>
                <a:schemeClr val="accent4"/>
              </a:solidFill>
              <a:ln w="9525">
                <a:solidFill>
                  <a:schemeClr val="accent4"/>
                </a:solidFill>
              </a:ln>
              <a:effectLst/>
            </c:spPr>
          </c:marker>
          <c:trendline>
            <c:spPr>
              <a:ln w="19050" cap="rnd">
                <a:solidFill>
                  <a:schemeClr val="accent4"/>
                </a:solidFill>
                <a:prstDash val="sysDot"/>
              </a:ln>
              <a:effectLst/>
            </c:spPr>
            <c:trendlineType val="poly"/>
            <c:order val="2"/>
            <c:dispRSqr val="0"/>
            <c:dispEq val="0"/>
          </c:trendline>
          <c:xVal>
            <c:numRef>
              <c:f>'DH -COMET_100'!$A$25:$A$30</c:f>
              <c:numCache>
                <c:formatCode>General</c:formatCode>
                <c:ptCount val="6"/>
                <c:pt idx="0">
                  <c:v>0</c:v>
                </c:pt>
                <c:pt idx="1">
                  <c:v>100</c:v>
                </c:pt>
                <c:pt idx="2">
                  <c:v>250</c:v>
                </c:pt>
                <c:pt idx="3">
                  <c:v>500</c:v>
                </c:pt>
                <c:pt idx="4">
                  <c:v>750</c:v>
                </c:pt>
                <c:pt idx="5">
                  <c:v>1000</c:v>
                </c:pt>
              </c:numCache>
            </c:numRef>
          </c:xVal>
          <c:yVal>
            <c:numRef>
              <c:f>'DH -COMET_100'!$I$25:$I$30</c:f>
              <c:numCache>
                <c:formatCode>0.00</c:formatCode>
                <c:ptCount val="6"/>
                <c:pt idx="0">
                  <c:v>723.1093702922567</c:v>
                </c:pt>
                <c:pt idx="1">
                  <c:v>696.8641114982579</c:v>
                </c:pt>
                <c:pt idx="2">
                  <c:v>634.75271092303615</c:v>
                </c:pt>
                <c:pt idx="3">
                  <c:v>541.82187605824583</c:v>
                </c:pt>
                <c:pt idx="4">
                  <c:v>480.33623536475528</c:v>
                </c:pt>
                <c:pt idx="5">
                  <c:v>437.47721472839959</c:v>
                </c:pt>
              </c:numCache>
            </c:numRef>
          </c:yVal>
          <c:smooth val="0"/>
          <c:extLst>
            <c:ext xmlns:c16="http://schemas.microsoft.com/office/drawing/2014/chart" uri="{C3380CC4-5D6E-409C-BE32-E72D297353CC}">
              <c16:uniqueId val="{00000005-55A9-483F-84E1-2B74A753D921}"/>
            </c:ext>
          </c:extLst>
        </c:ser>
        <c:ser>
          <c:idx val="4"/>
          <c:order val="4"/>
          <c:tx>
            <c:strRef>
              <c:f>'DH -COMET_100'!$B$18</c:f>
              <c:strCache>
                <c:ptCount val="1"/>
                <c:pt idx="0">
                  <c:v>200</c:v>
                </c:pt>
              </c:strCache>
            </c:strRef>
          </c:tx>
          <c:spPr>
            <a:ln w="25400" cap="rnd">
              <a:noFill/>
              <a:round/>
            </a:ln>
            <a:effectLst/>
          </c:spPr>
          <c:marker>
            <c:symbol val="circle"/>
            <c:size val="5"/>
            <c:spPr>
              <a:solidFill>
                <a:schemeClr val="accent5"/>
              </a:solidFill>
              <a:ln w="9525">
                <a:solidFill>
                  <a:schemeClr val="accent5"/>
                </a:solidFill>
              </a:ln>
              <a:effectLst/>
            </c:spPr>
          </c:marker>
          <c:trendline>
            <c:spPr>
              <a:ln w="19050" cap="rnd">
                <a:solidFill>
                  <a:schemeClr val="accent5"/>
                </a:solidFill>
                <a:prstDash val="sysDot"/>
              </a:ln>
              <a:effectLst/>
            </c:spPr>
            <c:trendlineType val="power"/>
            <c:dispRSqr val="0"/>
            <c:dispEq val="0"/>
          </c:trendline>
          <c:trendline>
            <c:spPr>
              <a:ln w="19050" cap="rnd">
                <a:solidFill>
                  <a:schemeClr val="accent5"/>
                </a:solidFill>
                <a:prstDash val="sysDot"/>
              </a:ln>
              <a:effectLst/>
            </c:spPr>
            <c:trendlineType val="poly"/>
            <c:order val="2"/>
            <c:dispRSqr val="0"/>
            <c:dispEq val="0"/>
          </c:trendline>
          <c:xVal>
            <c:numRef>
              <c:f>'DH -COMET_100'!$A$18:$A$23</c:f>
              <c:numCache>
                <c:formatCode>General</c:formatCode>
                <c:ptCount val="6"/>
                <c:pt idx="0">
                  <c:v>0</c:v>
                </c:pt>
                <c:pt idx="1">
                  <c:v>100</c:v>
                </c:pt>
                <c:pt idx="2">
                  <c:v>250</c:v>
                </c:pt>
                <c:pt idx="3">
                  <c:v>500</c:v>
                </c:pt>
                <c:pt idx="4">
                  <c:v>750</c:v>
                </c:pt>
                <c:pt idx="5">
                  <c:v>1000</c:v>
                </c:pt>
              </c:numCache>
            </c:numRef>
          </c:xVal>
          <c:yVal>
            <c:numRef>
              <c:f>'DH -COMET_100'!$P$18:$P$23</c:f>
              <c:numCache>
                <c:formatCode>General</c:formatCode>
                <c:ptCount val="6"/>
                <c:pt idx="0">
                  <c:v>335.4579000335458</c:v>
                </c:pt>
                <c:pt idx="1">
                  <c:v>289.85507246376812</c:v>
                </c:pt>
                <c:pt idx="2">
                  <c:v>270.27027027027026</c:v>
                </c:pt>
                <c:pt idx="3">
                  <c:v>244.76808224207565</c:v>
                </c:pt>
                <c:pt idx="4">
                  <c:v>222.2222222222222</c:v>
                </c:pt>
                <c:pt idx="5">
                  <c:v>194.70404984423675</c:v>
                </c:pt>
              </c:numCache>
            </c:numRef>
          </c:yVal>
          <c:smooth val="0"/>
          <c:extLst>
            <c:ext xmlns:c16="http://schemas.microsoft.com/office/drawing/2014/chart" uri="{C3380CC4-5D6E-409C-BE32-E72D297353CC}">
              <c16:uniqueId val="{00000006-55A9-483F-84E1-2B74A753D921}"/>
            </c:ext>
          </c:extLst>
        </c:ser>
        <c:ser>
          <c:idx val="5"/>
          <c:order val="5"/>
          <c:tx>
            <c:strRef>
              <c:f>'DH -COMET_100'!$B$11</c:f>
              <c:strCache>
                <c:ptCount val="1"/>
                <c:pt idx="0">
                  <c:v>100</c:v>
                </c:pt>
              </c:strCache>
            </c:strRef>
          </c:tx>
          <c:spPr>
            <a:ln w="25400" cap="rnd">
              <a:noFill/>
              <a:round/>
            </a:ln>
            <a:effectLst/>
          </c:spPr>
          <c:marker>
            <c:symbol val="circle"/>
            <c:size val="5"/>
            <c:spPr>
              <a:solidFill>
                <a:schemeClr val="accent6"/>
              </a:solidFill>
              <a:ln w="9525">
                <a:solidFill>
                  <a:schemeClr val="accent6"/>
                </a:solidFill>
              </a:ln>
              <a:effectLst/>
            </c:spPr>
          </c:marker>
          <c:trendline>
            <c:spPr>
              <a:ln w="19050" cap="rnd">
                <a:solidFill>
                  <a:schemeClr val="accent6"/>
                </a:solidFill>
                <a:prstDash val="sysDot"/>
              </a:ln>
              <a:effectLst/>
            </c:spPr>
            <c:trendlineType val="poly"/>
            <c:order val="2"/>
            <c:dispRSqr val="0"/>
            <c:dispEq val="0"/>
          </c:trendline>
          <c:xVal>
            <c:numRef>
              <c:f>'DH -COMET_100'!$A$11:$A$16</c:f>
              <c:numCache>
                <c:formatCode>General</c:formatCode>
                <c:ptCount val="6"/>
                <c:pt idx="0">
                  <c:v>0</c:v>
                </c:pt>
                <c:pt idx="1">
                  <c:v>100</c:v>
                </c:pt>
                <c:pt idx="2">
                  <c:v>250</c:v>
                </c:pt>
                <c:pt idx="3">
                  <c:v>500</c:v>
                </c:pt>
                <c:pt idx="4">
                  <c:v>750</c:v>
                </c:pt>
                <c:pt idx="5">
                  <c:v>1000</c:v>
                </c:pt>
              </c:numCache>
            </c:numRef>
          </c:xVal>
          <c:yVal>
            <c:numRef>
              <c:f>'DH -COMET_100'!$P$11:$P$16</c:f>
              <c:numCache>
                <c:formatCode>General</c:formatCode>
                <c:ptCount val="6"/>
                <c:pt idx="0">
                  <c:v>161.7686708007549</c:v>
                </c:pt>
                <c:pt idx="1">
                  <c:v>141.27619496114903</c:v>
                </c:pt>
                <c:pt idx="2">
                  <c:v>132.56738842244806</c:v>
                </c:pt>
                <c:pt idx="3">
                  <c:v>121.23661345726408</c:v>
                </c:pt>
                <c:pt idx="4">
                  <c:v>111.66945840312674</c:v>
                </c:pt>
                <c:pt idx="5">
                  <c:v>98.360655737704917</c:v>
                </c:pt>
              </c:numCache>
            </c:numRef>
          </c:yVal>
          <c:smooth val="0"/>
          <c:extLst>
            <c:ext xmlns:c16="http://schemas.microsoft.com/office/drawing/2014/chart" uri="{C3380CC4-5D6E-409C-BE32-E72D297353CC}">
              <c16:uniqueId val="{00000007-55A9-483F-84E1-2B74A753D921}"/>
            </c:ext>
          </c:extLst>
        </c:ser>
        <c:dLbls>
          <c:showLegendKey val="0"/>
          <c:showVal val="0"/>
          <c:showCatName val="0"/>
          <c:showSerName val="0"/>
          <c:showPercent val="0"/>
          <c:showBubbleSize val="0"/>
        </c:dLbls>
        <c:axId val="705849336"/>
        <c:axId val="705839168"/>
      </c:scatterChart>
      <c:valAx>
        <c:axId val="70584933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Pressure (psi)</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39168"/>
        <c:crosses val="autoZero"/>
        <c:crossBetween val="midCat"/>
        <c:majorUnit val="100"/>
      </c:valAx>
      <c:valAx>
        <c:axId val="705839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a:t>
                </a:r>
                <a:r>
                  <a:rPr lang="en-US" baseline="0"/>
                  <a:t> (L/d)</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49336"/>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F6DB8F0-8A8F-4A0C-8E31-BBD72848B343}">
  <sheetPr>
    <tabColor rgb="FFFF0000"/>
  </sheetPr>
  <sheetViews>
    <sheetView workbookViewId="0"/>
  </sheetViews>
  <pageMargins left="0.7" right="0.7" top="0.75" bottom="0.75" header="0.3" footer="0.3"/>
  <pageSetup orientation="landscape" horizontalDpi="300" verticalDpi="300"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3E12D31-91F7-40F9-9945-592EAD61029C}">
  <sheetPr>
    <tabColor rgb="FFFFFF00"/>
  </sheetPr>
  <sheetViews>
    <sheetView workbookViewId="0"/>
  </sheetViews>
  <pageMargins left="0.7" right="0.7" top="0.75" bottom="0.75" header="0.3" footer="0.3"/>
  <pageSetup orientation="landscape" horizontalDpi="300" verticalDpi="300"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workbookViewId="0"/>
  </sheetViews>
  <sheetProtection algorithmName="SHA-512" hashValue="QStBGtnx1FQugT81eQ1BnKmyLXlp6r9S08Xon+suW3LzirWGvhXhurub9edamtZqvck56OhxF4YjkYuiO4zS3g==" saltValue="UTZXmKvvLBgQKDrPUyu9zg==" spinCount="100000" content="1" objects="1"/>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absolute">
    <xdr:from>
      <xdr:col>5</xdr:col>
      <xdr:colOff>247650</xdr:colOff>
      <xdr:row>4</xdr:row>
      <xdr:rowOff>76201</xdr:rowOff>
    </xdr:from>
    <xdr:to>
      <xdr:col>5</xdr:col>
      <xdr:colOff>1400175</xdr:colOff>
      <xdr:row>4</xdr:row>
      <xdr:rowOff>750673</xdr:rowOff>
    </xdr:to>
    <xdr:pic>
      <xdr:nvPicPr>
        <xdr:cNvPr id="27317" name="Picture 59" descr="SiriusLogo">
          <a:extLst>
            <a:ext uri="{FF2B5EF4-FFF2-40B4-BE49-F238E27FC236}">
              <a16:creationId xmlns:a16="http://schemas.microsoft.com/office/drawing/2014/main" id="{00000000-0008-0000-0000-0000B56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0" y="542926"/>
          <a:ext cx="1152525" cy="6697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5</xdr:col>
      <xdr:colOff>1724025</xdr:colOff>
      <xdr:row>4</xdr:row>
      <xdr:rowOff>152400</xdr:rowOff>
    </xdr:from>
    <xdr:to>
      <xdr:col>8</xdr:col>
      <xdr:colOff>1351127</xdr:colOff>
      <xdr:row>4</xdr:row>
      <xdr:rowOff>657731</xdr:rowOff>
    </xdr:to>
    <xdr:sp macro="" textlink="">
      <xdr:nvSpPr>
        <xdr:cNvPr id="7" name="TextBox 6">
          <a:extLst>
            <a:ext uri="{FF2B5EF4-FFF2-40B4-BE49-F238E27FC236}">
              <a16:creationId xmlns:a16="http://schemas.microsoft.com/office/drawing/2014/main" id="{3E31E0C2-BDC8-49F3-A5C6-54380CB55183}"/>
            </a:ext>
          </a:extLst>
        </xdr:cNvPr>
        <xdr:cNvSpPr txBox="1"/>
      </xdr:nvSpPr>
      <xdr:spPr>
        <a:xfrm>
          <a:off x="2066925" y="314325"/>
          <a:ext cx="3365665" cy="505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CA" sz="1600" b="1">
              <a:latin typeface="Arial" panose="020B0604020202020204" pitchFamily="34" charset="0"/>
              <a:cs typeface="Arial" panose="020B0604020202020204" pitchFamily="34" charset="0"/>
            </a:rPr>
            <a:t>Flow-Spec Solar</a:t>
          </a:r>
          <a:r>
            <a:rPr lang="en-CA" sz="1600" b="1" baseline="0">
              <a:latin typeface="Arial" panose="020B0604020202020204" pitchFamily="34" charset="0"/>
              <a:cs typeface="Arial" panose="020B0604020202020204" pitchFamily="34" charset="0"/>
            </a:rPr>
            <a:t> Sizing Software</a:t>
          </a:r>
        </a:p>
        <a:p>
          <a:pPr algn="ctr"/>
          <a:r>
            <a:rPr lang="en-CA" sz="1200" b="1" baseline="0">
              <a:latin typeface="Arial" panose="020B0604020202020204" pitchFamily="34" charset="0"/>
              <a:cs typeface="Arial" panose="020B0604020202020204" pitchFamily="34" charset="0"/>
            </a:rPr>
            <a:t>(all rights reserved)</a:t>
          </a:r>
          <a:endParaRPr lang="en-CA" sz="1200" b="1">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0.77297</cdr:x>
      <cdr:y>0.01061</cdr:y>
    </cdr:from>
    <cdr:to>
      <cdr:x>0.98064</cdr:x>
      <cdr:y>0.17727</cdr:y>
    </cdr:to>
    <cdr:pic>
      <cdr:nvPicPr>
        <cdr:cNvPr id="3" name="Picture 2">
          <a:extLst xmlns:a="http://schemas.openxmlformats.org/drawingml/2006/main">
            <a:ext uri="{FF2B5EF4-FFF2-40B4-BE49-F238E27FC236}">
              <a16:creationId xmlns:a16="http://schemas.microsoft.com/office/drawing/2014/main" id="{BF837380-61D9-44E8-A91E-AF2264BDE8F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696075" y="66675"/>
          <a:ext cx="1798962" cy="1047750"/>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twoCellAnchor>
    <xdr:from>
      <xdr:col>9</xdr:col>
      <xdr:colOff>345117</xdr:colOff>
      <xdr:row>40</xdr:row>
      <xdr:rowOff>4890</xdr:rowOff>
    </xdr:from>
    <xdr:to>
      <xdr:col>13</xdr:col>
      <xdr:colOff>307450</xdr:colOff>
      <xdr:row>61</xdr:row>
      <xdr:rowOff>83025</xdr:rowOff>
    </xdr:to>
    <xdr:graphicFrame macro="">
      <xdr:nvGraphicFramePr>
        <xdr:cNvPr id="3" name="Chart 2">
          <a:extLst>
            <a:ext uri="{FF2B5EF4-FFF2-40B4-BE49-F238E27FC236}">
              <a16:creationId xmlns:a16="http://schemas.microsoft.com/office/drawing/2014/main" id="{E25444B3-7A34-4D46-A430-C4F0BD1806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19</xdr:col>
      <xdr:colOff>253712</xdr:colOff>
      <xdr:row>2</xdr:row>
      <xdr:rowOff>127289</xdr:rowOff>
    </xdr:from>
    <xdr:to>
      <xdr:col>35</xdr:col>
      <xdr:colOff>404911</xdr:colOff>
      <xdr:row>38</xdr:row>
      <xdr:rowOff>78362</xdr:rowOff>
    </xdr:to>
    <xdr:pic>
      <xdr:nvPicPr>
        <xdr:cNvPr id="4" name="Picture 3">
          <a:extLst>
            <a:ext uri="{FF2B5EF4-FFF2-40B4-BE49-F238E27FC236}">
              <a16:creationId xmlns:a16="http://schemas.microsoft.com/office/drawing/2014/main" id="{8D3EF14C-40C1-43FE-AAF6-295503FAE7B6}"/>
            </a:ext>
          </a:extLst>
        </xdr:cNvPr>
        <xdr:cNvPicPr>
          <a:picLocks noChangeAspect="1"/>
        </xdr:cNvPicPr>
      </xdr:nvPicPr>
      <xdr:blipFill>
        <a:blip xmlns:r="http://schemas.openxmlformats.org/officeDocument/2006/relationships" r:embed="rId2"/>
        <a:stretch>
          <a:fillRect/>
        </a:stretch>
      </xdr:blipFill>
      <xdr:spPr>
        <a:xfrm>
          <a:off x="13242348" y="439016"/>
          <a:ext cx="9572291" cy="67177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19049</xdr:colOff>
      <xdr:row>29</xdr:row>
      <xdr:rowOff>104775</xdr:rowOff>
    </xdr:from>
    <xdr:to>
      <xdr:col>23</xdr:col>
      <xdr:colOff>104774</xdr:colOff>
      <xdr:row>50</xdr:row>
      <xdr:rowOff>185604</xdr:rowOff>
    </xdr:to>
    <xdr:graphicFrame macro="">
      <xdr:nvGraphicFramePr>
        <xdr:cNvPr id="2" name="Chart 1">
          <a:extLst>
            <a:ext uri="{FF2B5EF4-FFF2-40B4-BE49-F238E27FC236}">
              <a16:creationId xmlns:a16="http://schemas.microsoft.com/office/drawing/2014/main" id="{9A4EA2F1-49B4-4817-A89A-A9715435ED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371475</xdr:colOff>
      <xdr:row>60</xdr:row>
      <xdr:rowOff>28575</xdr:rowOff>
    </xdr:from>
    <xdr:to>
      <xdr:col>24</xdr:col>
      <xdr:colOff>66675</xdr:colOff>
      <xdr:row>74</xdr:row>
      <xdr:rowOff>104775</xdr:rowOff>
    </xdr:to>
    <xdr:graphicFrame macro="">
      <xdr:nvGraphicFramePr>
        <xdr:cNvPr id="3" name="Chart 2">
          <a:extLst>
            <a:ext uri="{FF2B5EF4-FFF2-40B4-BE49-F238E27FC236}">
              <a16:creationId xmlns:a16="http://schemas.microsoft.com/office/drawing/2014/main" id="{943D75B6-D620-4C93-8014-99F5D0F464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485775</xdr:colOff>
      <xdr:row>76</xdr:row>
      <xdr:rowOff>66675</xdr:rowOff>
    </xdr:from>
    <xdr:to>
      <xdr:col>24</xdr:col>
      <xdr:colOff>180975</xdr:colOff>
      <xdr:row>90</xdr:row>
      <xdr:rowOff>142875</xdr:rowOff>
    </xdr:to>
    <xdr:graphicFrame macro="">
      <xdr:nvGraphicFramePr>
        <xdr:cNvPr id="4" name="Chart 3">
          <a:extLst>
            <a:ext uri="{FF2B5EF4-FFF2-40B4-BE49-F238E27FC236}">
              <a16:creationId xmlns:a16="http://schemas.microsoft.com/office/drawing/2014/main" id="{6E8C7F8D-7637-4ABF-A8F5-A753772DB4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180975</xdr:colOff>
      <xdr:row>26</xdr:row>
      <xdr:rowOff>57150</xdr:rowOff>
    </xdr:from>
    <xdr:to>
      <xdr:col>24</xdr:col>
      <xdr:colOff>600075</xdr:colOff>
      <xdr:row>48</xdr:row>
      <xdr:rowOff>66675</xdr:rowOff>
    </xdr:to>
    <xdr:graphicFrame macro="">
      <xdr:nvGraphicFramePr>
        <xdr:cNvPr id="2" name="Chart 1">
          <a:extLst>
            <a:ext uri="{FF2B5EF4-FFF2-40B4-BE49-F238E27FC236}">
              <a16:creationId xmlns:a16="http://schemas.microsoft.com/office/drawing/2014/main" id="{8B78AF65-93E7-40D3-A910-1B19B2967B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47625</xdr:colOff>
      <xdr:row>87</xdr:row>
      <xdr:rowOff>133350</xdr:rowOff>
    </xdr:from>
    <xdr:to>
      <xdr:col>25</xdr:col>
      <xdr:colOff>352425</xdr:colOff>
      <xdr:row>102</xdr:row>
      <xdr:rowOff>19050</xdr:rowOff>
    </xdr:to>
    <xdr:graphicFrame macro="">
      <xdr:nvGraphicFramePr>
        <xdr:cNvPr id="4" name="Chart 3">
          <a:extLst>
            <a:ext uri="{FF2B5EF4-FFF2-40B4-BE49-F238E27FC236}">
              <a16:creationId xmlns:a16="http://schemas.microsoft.com/office/drawing/2014/main" id="{86D4F780-7317-45AB-A342-295C8F2F9C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581025</xdr:colOff>
      <xdr:row>72</xdr:row>
      <xdr:rowOff>38100</xdr:rowOff>
    </xdr:from>
    <xdr:to>
      <xdr:col>25</xdr:col>
      <xdr:colOff>276225</xdr:colOff>
      <xdr:row>86</xdr:row>
      <xdr:rowOff>114300</xdr:rowOff>
    </xdr:to>
    <xdr:graphicFrame macro="">
      <xdr:nvGraphicFramePr>
        <xdr:cNvPr id="5" name="Chart 4">
          <a:extLst>
            <a:ext uri="{FF2B5EF4-FFF2-40B4-BE49-F238E27FC236}">
              <a16:creationId xmlns:a16="http://schemas.microsoft.com/office/drawing/2014/main" id="{B8F48F9F-3F30-4828-84D2-629E1E46DC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352425</xdr:colOff>
      <xdr:row>35</xdr:row>
      <xdr:rowOff>123825</xdr:rowOff>
    </xdr:from>
    <xdr:to>
      <xdr:col>22</xdr:col>
      <xdr:colOff>19051</xdr:colOff>
      <xdr:row>57</xdr:row>
      <xdr:rowOff>14154</xdr:rowOff>
    </xdr:to>
    <xdr:graphicFrame macro="">
      <xdr:nvGraphicFramePr>
        <xdr:cNvPr id="2" name="Chart 1">
          <a:extLst>
            <a:ext uri="{FF2B5EF4-FFF2-40B4-BE49-F238E27FC236}">
              <a16:creationId xmlns:a16="http://schemas.microsoft.com/office/drawing/2014/main" id="{F042FECB-5911-4306-805D-3BD65A5874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15</xdr:col>
      <xdr:colOff>352425</xdr:colOff>
      <xdr:row>35</xdr:row>
      <xdr:rowOff>123825</xdr:rowOff>
    </xdr:from>
    <xdr:to>
      <xdr:col>22</xdr:col>
      <xdr:colOff>19051</xdr:colOff>
      <xdr:row>57</xdr:row>
      <xdr:rowOff>14154</xdr:rowOff>
    </xdr:to>
    <xdr:graphicFrame macro="">
      <xdr:nvGraphicFramePr>
        <xdr:cNvPr id="2" name="Chart 1">
          <a:extLst>
            <a:ext uri="{FF2B5EF4-FFF2-40B4-BE49-F238E27FC236}">
              <a16:creationId xmlns:a16="http://schemas.microsoft.com/office/drawing/2014/main" id="{C58770B2-10D7-4EC2-8A67-4D95FB750F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428625</xdr:colOff>
      <xdr:row>69</xdr:row>
      <xdr:rowOff>180975</xdr:rowOff>
    </xdr:from>
    <xdr:to>
      <xdr:col>25</xdr:col>
      <xdr:colOff>123825</xdr:colOff>
      <xdr:row>84</xdr:row>
      <xdr:rowOff>66675</xdr:rowOff>
    </xdr:to>
    <xdr:graphicFrame macro="">
      <xdr:nvGraphicFramePr>
        <xdr:cNvPr id="3" name="Chart 2">
          <a:extLst>
            <a:ext uri="{FF2B5EF4-FFF2-40B4-BE49-F238E27FC236}">
              <a16:creationId xmlns:a16="http://schemas.microsoft.com/office/drawing/2014/main" id="{2FFFE95D-7485-48EB-8061-7370A4A2DB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409575</xdr:colOff>
      <xdr:row>86</xdr:row>
      <xdr:rowOff>0</xdr:rowOff>
    </xdr:from>
    <xdr:to>
      <xdr:col>25</xdr:col>
      <xdr:colOff>104775</xdr:colOff>
      <xdr:row>100</xdr:row>
      <xdr:rowOff>76200</xdr:rowOff>
    </xdr:to>
    <xdr:graphicFrame macro="">
      <xdr:nvGraphicFramePr>
        <xdr:cNvPr id="4" name="Chart 3">
          <a:extLst>
            <a:ext uri="{FF2B5EF4-FFF2-40B4-BE49-F238E27FC236}">
              <a16:creationId xmlns:a16="http://schemas.microsoft.com/office/drawing/2014/main" id="{4DB954DF-DE01-450C-964D-BC378B2A86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133350</xdr:colOff>
      <xdr:row>101</xdr:row>
      <xdr:rowOff>161925</xdr:rowOff>
    </xdr:from>
    <xdr:to>
      <xdr:col>24</xdr:col>
      <xdr:colOff>438150</xdr:colOff>
      <xdr:row>116</xdr:row>
      <xdr:rowOff>47625</xdr:rowOff>
    </xdr:to>
    <xdr:graphicFrame macro="">
      <xdr:nvGraphicFramePr>
        <xdr:cNvPr id="6" name="Chart 5">
          <a:extLst>
            <a:ext uri="{FF2B5EF4-FFF2-40B4-BE49-F238E27FC236}">
              <a16:creationId xmlns:a16="http://schemas.microsoft.com/office/drawing/2014/main" id="{FE354561-E361-4AEC-AE05-48AC8E1C57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32F904DA-4DF9-4273-9A41-43AC92120CF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83B6F0-555A-4BA7-8BB2-0748A7BE70F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17316450" cy="12563475"/>
    <xdr:graphicFrame macro="">
      <xdr:nvGraphicFramePr>
        <xdr:cNvPr id="3"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ersons/person.xml><?xml version="1.0" encoding="utf-8"?>
<personList xmlns="http://schemas.microsoft.com/office/spreadsheetml/2018/threadedcomments" xmlns:x="http://schemas.openxmlformats.org/spreadsheetml/2006/main">
  <person displayName="Kirby Jabusch" id="{3A62AD75-293A-4460-9393-0C37E8B3BB02}" userId="kjabusch@siriuscontrols.com" providerId="PeoplePicker"/>
  <person displayName="Curtis Jabusch" id="{BAD25A4D-9057-4150-A3E6-F513DFA9C8FA}" userId="S::cjabusch@siriuscontrols.com::1c85fe18-4de5-4baf-a33c-46b7ea41cc7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83" dT="2021-03-16T20:48:17.72" personId="{BAD25A4D-9057-4150-A3E6-F513DFA9C8FA}" id="{17A2133C-D501-4492-9F54-4C05342249A4}">
    <text>@Kirby Jabusch you've got a 'pressure corrected RPM value here calculation baked in to this spreadsheet, however based on how we pulled this data, I believe that we can leave this correction value at '0'</text>
    <mentions>
      <mention mentionpersonId="{3A62AD75-293A-4460-9393-0C37E8B3BB02}" mentionId="{0D3DA9F6-A169-4A6A-8BBC-EDE5C17137B0}" startIndex="0" length="14"/>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B83" dT="2021-03-16T20:48:17.72" personId="{BAD25A4D-9057-4150-A3E6-F513DFA9C8FA}" id="{EB997F03-26EB-49EC-9FF3-5B9896F5D892}">
    <text>@Kirby Jabusch you've got a 'pressure corrected RPM value here calculation baked in to this spreadsheet, however based on how we pulled this data, I believe that we can leave this correction value at '0'</text>
    <mentions>
      <mention mentionpersonId="{3A62AD75-293A-4460-9393-0C37E8B3BB02}" mentionId="{D85F3129-B92C-4C11-B5E5-CBC325AE3BA7}" startIndex="0" length="14"/>
    </mentions>
  </threadedComment>
</ThreadedComments>
</file>

<file path=xl/threadedComments/threadedComment3.xml><?xml version="1.0" encoding="utf-8"?>
<ThreadedComments xmlns="http://schemas.microsoft.com/office/spreadsheetml/2018/threadedcomments" xmlns:x="http://schemas.openxmlformats.org/spreadsheetml/2006/main">
  <threadedComment ref="B83" dT="2021-03-16T20:48:17.72" personId="{BAD25A4D-9057-4150-A3E6-F513DFA9C8FA}" id="{94504365-9653-4172-AB8F-24FC2B6B5267}">
    <text>@Kirby Jabusch you've got a 'pressure corrected RPM value here calculation baked in to this spreadsheet, however based on how we pulled this data, I believe that we can leave this correction value at '0'</text>
    <mentions>
      <mention mentionpersonId="{3A62AD75-293A-4460-9393-0C37E8B3BB02}" mentionId="{D075EC09-B056-4D98-BD81-D8B5883DBAA9}" startIndex="0" length="14"/>
    </mentions>
  </threadedComment>
</ThreadedComments>
</file>

<file path=xl/threadedComments/threadedComment4.xml><?xml version="1.0" encoding="utf-8"?>
<ThreadedComments xmlns="http://schemas.microsoft.com/office/spreadsheetml/2018/threadedcomments" xmlns:x="http://schemas.openxmlformats.org/spreadsheetml/2006/main">
  <threadedComment ref="B83" dT="2021-03-16T20:48:17.72" personId="{BAD25A4D-9057-4150-A3E6-F513DFA9C8FA}" id="{4BD438D7-C780-4A43-8687-5B577556FCC2}">
    <text>@Kirby Jabusch you've got a 'pressure corrected RPM value here calculation baked in to this spreadsheet, however based on how we pulled this data, I believe that we can leave this correction value at '0'</text>
    <mentions>
      <mention mentionpersonId="{3A62AD75-293A-4460-9393-0C37E8B3BB02}" mentionId="{4AF8E0D8-C751-46E8-8137-7B677989E369}" startIndex="0" length="14"/>
    </mentions>
  </threadedComment>
</ThreadedComments>
</file>

<file path=xl/threadedComments/threadedComment5.xml><?xml version="1.0" encoding="utf-8"?>
<ThreadedComments xmlns="http://schemas.microsoft.com/office/spreadsheetml/2018/threadedcomments" xmlns:x="http://schemas.openxmlformats.org/spreadsheetml/2006/main">
  <threadedComment ref="B83" dT="2021-03-16T20:48:17.72" personId="{BAD25A4D-9057-4150-A3E6-F513DFA9C8FA}" id="{B13B4054-B929-41C2-A5E9-CC3C9D06B592}">
    <text>@Kirby Jabusch you've got a 'pressure corrected RPM value here calculation baked in to this spreadsheet, however based on how we pulled this data, I believe that we can leave this correction value at '0'</text>
    <mentions>
      <mention mentionpersonId="{3A62AD75-293A-4460-9393-0C37E8B3BB02}" mentionId="{80381B7F-CA1E-4A68-A7F4-079ABBC1ADF6}" startIndex="0" length="14"/>
    </mentions>
  </threadedComment>
</ThreadedComments>
</file>

<file path=xl/threadedComments/threadedComment6.xml><?xml version="1.0" encoding="utf-8"?>
<ThreadedComments xmlns="http://schemas.microsoft.com/office/spreadsheetml/2018/threadedcomments" xmlns:x="http://schemas.openxmlformats.org/spreadsheetml/2006/main">
  <threadedComment ref="B83" dT="2021-03-16T20:48:17.72" personId="{BAD25A4D-9057-4150-A3E6-F513DFA9C8FA}" id="{70142F51-C0B2-46F8-BFFE-40C5CD8DBC06}">
    <text>@Kirby Jabusch you've got a 'pressure corrected RPM value here calculation baked in to this spreadsheet, however based on how we pulled this data, I believe that we can leave this correction value at '0'</text>
    <mentions>
      <mention mentionpersonId="{3A62AD75-293A-4460-9393-0C37E8B3BB02}" mentionId="{C6977D4C-4AC8-436B-8EB5-E4E4E3DFC9DB}" startIndex="0" length="14"/>
    </mentions>
  </threadedComment>
</ThreadedComments>
</file>

<file path=xl/threadedComments/threadedComment7.xml><?xml version="1.0" encoding="utf-8"?>
<ThreadedComments xmlns="http://schemas.microsoft.com/office/spreadsheetml/2018/threadedcomments" xmlns:x="http://schemas.openxmlformats.org/spreadsheetml/2006/main">
  <threadedComment ref="B83" dT="2021-03-16T20:48:17.72" personId="{BAD25A4D-9057-4150-A3E6-F513DFA9C8FA}" id="{250F3813-0FBC-42C5-86AE-D3E5D5D87521}">
    <text>@Kirby Jabusch you've got a 'pressure corrected RPM value here calculation baked in to this spreadsheet, however based on how we pulled this data, I believe that we can leave this correction value at '0'</text>
    <mentions>
      <mention mentionpersonId="{3A62AD75-293A-4460-9393-0C37E8B3BB02}" mentionId="{6C353228-67A4-40F5-9FD8-1C9FE323DBAF}" startIndex="0" length="14"/>
    </mentions>
  </threadedComment>
</ThreadedComments>
</file>

<file path=xl/threadedComments/threadedComment8.xml><?xml version="1.0" encoding="utf-8"?>
<ThreadedComments xmlns="http://schemas.microsoft.com/office/spreadsheetml/2018/threadedcomments" xmlns:x="http://schemas.openxmlformats.org/spreadsheetml/2006/main">
  <threadedComment ref="B83" dT="2021-03-16T20:48:17.72" personId="{BAD25A4D-9057-4150-A3E6-F513DFA9C8FA}" id="{737DA1D9-03A5-4C09-958B-FC88E5CF4BC7}">
    <text>@Kirby Jabusch you've got a 'pressure corrected RPM value here calculation baked in to this spreadsheet, however based on how we pulled this data, I believe that we can leave this correction value at '0'</text>
    <mentions>
      <mention mentionpersonId="{3A62AD75-293A-4460-9393-0C37E8B3BB02}" mentionId="{0247CC43-5226-4034-96D7-97CEB3A16E53}" startIndex="0" length="14"/>
    </mentions>
  </threadedComment>
</ThreadedComments>
</file>

<file path=xl/threadedComments/threadedComment9.xml><?xml version="1.0" encoding="utf-8"?>
<ThreadedComments xmlns="http://schemas.microsoft.com/office/spreadsheetml/2018/threadedcomments" xmlns:x="http://schemas.openxmlformats.org/spreadsheetml/2006/main">
  <threadedComment ref="B83" dT="2021-03-16T20:48:17.72" personId="{BAD25A4D-9057-4150-A3E6-F513DFA9C8FA}" id="{AC5B2F9C-3619-4615-800A-57F8E6036FB7}">
    <text>@Kirby Jabusch you've got a 'pressure corrected RPM value here calculation baked in to this spreadsheet, however based on how we pulled this data, I believe that we can leave this correction value at '0'</text>
    <mentions>
      <mention mentionpersonId="{3A62AD75-293A-4460-9393-0C37E8B3BB02}" mentionId="{D5CEE834-EAEA-4423-BFE5-90AE112F107D}" startIndex="0" length="14"/>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microsoft.com/office/2017/10/relationships/threadedComment" Target="../threadedComments/threadedComment8.xml"/><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 Id="rId4" Type="http://schemas.microsoft.com/office/2017/10/relationships/threadedComment" Target="../threadedComments/threadedComment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rredc.nrel.gov/solar/pubs/redbook/" TargetMode="External"/><Relationship Id="rId7" Type="http://schemas.openxmlformats.org/officeDocument/2006/relationships/hyperlink" Target="https://fgp-pgf.maps.arcgis.com/apps/webappviewer/index.html?id=c91106a7d8c446a19dd1909fd93645d3" TargetMode="External"/><Relationship Id="rId2" Type="http://schemas.openxmlformats.org/officeDocument/2006/relationships/hyperlink" Target="http://198.103.48.154/fichier.php/codectec/Fr/2006-046/2006-046_OP-J_411-SOLRES_PV+map.pdf" TargetMode="External"/><Relationship Id="rId1" Type="http://schemas.openxmlformats.org/officeDocument/2006/relationships/hyperlink" Target="https://glfc.cfsnet.nfis.org/mapserver/pv/municip.php?n=720&amp;NEK=e" TargetMode="External"/><Relationship Id="rId6" Type="http://schemas.openxmlformats.org/officeDocument/2006/relationships/hyperlink" Target="https://www.nrcan.gc.ca/energy/energy-sources-distribution/renewables/solar-photovoltaic-energy/solar-resource-data-available-canada/14390" TargetMode="External"/><Relationship Id="rId5" Type="http://schemas.openxmlformats.org/officeDocument/2006/relationships/hyperlink" Target="https://weatherspark.com/m/2795/1/Average-Weather-in-January-in-Fort-McMurray-Canada" TargetMode="External"/><Relationship Id="rId4" Type="http://schemas.openxmlformats.org/officeDocument/2006/relationships/hyperlink" Target="http://pv.nrcan.gc.ca/index.php?n=720&amp;m=u&amp;lang=e"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 Id="rId4" Type="http://schemas.microsoft.com/office/2017/10/relationships/threadedComment" Target="../threadedComments/threadedComment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sheetPr>
  <dimension ref="A2:AF104"/>
  <sheetViews>
    <sheetView showGridLines="0" tabSelected="1" topLeftCell="A4" workbookViewId="0">
      <selection activeCell="G14" sqref="G14"/>
    </sheetView>
  </sheetViews>
  <sheetFormatPr defaultColWidth="8.85546875" defaultRowHeight="12.75" x14ac:dyDescent="0.2"/>
  <cols>
    <col min="2" max="2" width="2.140625" customWidth="1"/>
    <col min="3" max="3" width="1.7109375" customWidth="1"/>
    <col min="4" max="4" width="1" customWidth="1"/>
    <col min="5" max="5" width="1.140625" customWidth="1"/>
    <col min="6" max="6" width="44.85546875" customWidth="1"/>
    <col min="8" max="8" width="2.42578125" customWidth="1"/>
    <col min="9" max="9" width="25.140625" customWidth="1"/>
    <col min="10" max="10" width="1.140625" customWidth="1"/>
    <col min="11" max="11" width="1" customWidth="1"/>
    <col min="12" max="12" width="1.7109375" customWidth="1"/>
    <col min="13" max="13" width="2.140625" customWidth="1"/>
    <col min="14" max="14" width="1.7109375" customWidth="1"/>
    <col min="15" max="15" width="8.85546875" hidden="1" customWidth="1"/>
    <col min="16" max="16" width="34.28515625" hidden="1" customWidth="1"/>
    <col min="17" max="17" width="27.7109375" hidden="1" customWidth="1"/>
    <col min="18" max="18" width="12.7109375" hidden="1" customWidth="1"/>
    <col min="19" max="19" width="20.85546875" hidden="1" customWidth="1"/>
    <col min="20" max="20" width="14.140625" hidden="1" customWidth="1"/>
    <col min="21" max="21" width="16.28515625" hidden="1" customWidth="1"/>
    <col min="22" max="22" width="8.85546875" hidden="1" customWidth="1"/>
    <col min="23" max="23" width="16.7109375" hidden="1" customWidth="1"/>
    <col min="24" max="24" width="8.85546875" hidden="1" customWidth="1"/>
    <col min="25" max="26" width="20.28515625" hidden="1" customWidth="1"/>
    <col min="27" max="32" width="8.85546875" hidden="1" customWidth="1"/>
    <col min="33" max="36" width="8.85546875" customWidth="1"/>
  </cols>
  <sheetData>
    <row r="2" spans="2:32" ht="10.5" customHeight="1" x14ac:dyDescent="0.2">
      <c r="B2" s="232"/>
      <c r="C2" s="232"/>
      <c r="D2" s="232"/>
      <c r="E2" s="232"/>
      <c r="F2" s="232"/>
      <c r="G2" s="232"/>
      <c r="H2" s="232"/>
      <c r="I2" s="232"/>
      <c r="J2" s="232"/>
      <c r="K2" s="232"/>
      <c r="L2" s="232"/>
      <c r="M2" s="232"/>
      <c r="N2" s="21"/>
      <c r="O2" s="21"/>
      <c r="P2" s="21"/>
      <c r="Q2" s="21"/>
      <c r="R2" s="21"/>
      <c r="S2" s="21"/>
      <c r="T2" s="21"/>
      <c r="U2" s="21"/>
      <c r="V2" s="21"/>
      <c r="W2" s="21"/>
      <c r="X2" s="21"/>
      <c r="Y2" s="21"/>
      <c r="Z2" s="21"/>
      <c r="AA2" s="21"/>
      <c r="AB2" s="21"/>
      <c r="AC2" s="21"/>
      <c r="AD2" s="21"/>
      <c r="AE2" s="21"/>
      <c r="AF2" s="21"/>
    </row>
    <row r="3" spans="2:32" ht="7.5" customHeight="1" x14ac:dyDescent="0.2">
      <c r="B3" s="232"/>
      <c r="C3" s="20"/>
      <c r="D3" s="20"/>
      <c r="E3" s="20"/>
      <c r="F3" s="20"/>
      <c r="G3" s="20"/>
      <c r="H3" s="20"/>
      <c r="I3" s="20"/>
      <c r="J3" s="20"/>
      <c r="K3" s="20"/>
      <c r="L3" s="20"/>
      <c r="M3" s="232"/>
      <c r="N3" s="21"/>
    </row>
    <row r="4" spans="2:32" ht="6" customHeight="1" x14ac:dyDescent="0.2">
      <c r="B4" s="232"/>
      <c r="C4" s="20"/>
      <c r="D4" s="1"/>
      <c r="E4" s="1"/>
      <c r="F4" s="1"/>
      <c r="G4" s="1"/>
      <c r="H4" s="1"/>
      <c r="I4" s="1"/>
      <c r="J4" s="1"/>
      <c r="K4" s="1"/>
      <c r="L4" s="20"/>
      <c r="M4" s="232"/>
      <c r="N4" s="21"/>
    </row>
    <row r="5" spans="2:32" ht="63.75" customHeight="1" x14ac:dyDescent="0.2">
      <c r="B5" s="232"/>
      <c r="C5" s="20"/>
      <c r="D5" s="1"/>
      <c r="I5" s="2" t="s">
        <v>0</v>
      </c>
      <c r="K5" s="1"/>
      <c r="L5" s="20"/>
      <c r="M5" s="232"/>
      <c r="N5" s="21"/>
    </row>
    <row r="6" spans="2:32" ht="13.5" customHeight="1" x14ac:dyDescent="0.3">
      <c r="B6" s="232"/>
      <c r="C6" s="20"/>
      <c r="D6" s="1"/>
      <c r="E6" s="22"/>
      <c r="F6" s="23"/>
      <c r="G6" s="22"/>
      <c r="H6" s="22"/>
      <c r="I6" s="22"/>
      <c r="J6" s="22"/>
      <c r="K6" s="1"/>
      <c r="L6" s="20"/>
      <c r="M6" s="232"/>
      <c r="N6" s="21"/>
    </row>
    <row r="7" spans="2:32" ht="9" customHeight="1" thickBot="1" x14ac:dyDescent="0.25">
      <c r="B7" s="232"/>
      <c r="C7" s="20"/>
      <c r="D7" s="1"/>
      <c r="F7" s="3"/>
      <c r="G7" s="4"/>
      <c r="H7" s="4"/>
      <c r="I7" s="4"/>
      <c r="J7" s="4"/>
      <c r="K7" s="5"/>
      <c r="L7" s="20"/>
      <c r="M7" s="232"/>
      <c r="N7" s="21"/>
    </row>
    <row r="8" spans="2:32" ht="13.5" thickBot="1" x14ac:dyDescent="0.25">
      <c r="B8" s="232"/>
      <c r="C8" s="20"/>
      <c r="D8" s="1"/>
      <c r="F8" s="204" t="s">
        <v>4</v>
      </c>
      <c r="I8" s="186" t="s">
        <v>374</v>
      </c>
      <c r="K8" s="1"/>
      <c r="L8" s="20"/>
      <c r="M8" s="232"/>
      <c r="N8" s="21"/>
      <c r="P8" s="185" t="s">
        <v>319</v>
      </c>
    </row>
    <row r="9" spans="2:32" ht="13.5" thickBot="1" x14ac:dyDescent="0.25">
      <c r="B9" s="232"/>
      <c r="C9" s="20"/>
      <c r="D9" s="1"/>
      <c r="F9" s="188" t="s">
        <v>96</v>
      </c>
      <c r="G9" s="265" t="s">
        <v>145</v>
      </c>
      <c r="H9" s="266"/>
      <c r="I9" s="267"/>
      <c r="K9" s="1"/>
      <c r="L9" s="20"/>
      <c r="M9" s="232"/>
      <c r="N9" s="21"/>
    </row>
    <row r="10" spans="2:32" ht="13.5" thickBot="1" x14ac:dyDescent="0.25">
      <c r="B10" s="232"/>
      <c r="C10" s="20"/>
      <c r="D10" s="1"/>
      <c r="F10" s="89" t="s">
        <v>9</v>
      </c>
      <c r="G10" s="99">
        <v>2000</v>
      </c>
      <c r="H10" s="268" t="s">
        <v>220</v>
      </c>
      <c r="I10" s="269"/>
      <c r="K10" s="1"/>
      <c r="L10" s="20"/>
      <c r="M10" s="232"/>
      <c r="N10" s="21"/>
    </row>
    <row r="11" spans="2:32" ht="13.5" thickBot="1" x14ac:dyDescent="0.25">
      <c r="B11" s="232"/>
      <c r="C11" s="20"/>
      <c r="D11" s="1"/>
      <c r="F11" s="89" t="s">
        <v>320</v>
      </c>
      <c r="G11" s="92">
        <v>10</v>
      </c>
      <c r="H11" s="263" t="s">
        <v>68</v>
      </c>
      <c r="I11" s="264"/>
      <c r="K11" s="1"/>
      <c r="L11" s="20"/>
      <c r="M11" s="232"/>
      <c r="N11" s="21"/>
      <c r="P11" s="24" t="s">
        <v>11</v>
      </c>
    </row>
    <row r="12" spans="2:32" ht="13.5" thickBot="1" x14ac:dyDescent="0.25">
      <c r="B12" s="232"/>
      <c r="C12" s="20"/>
      <c r="D12" s="1"/>
      <c r="F12" s="89" t="s">
        <v>15</v>
      </c>
      <c r="G12" s="265" t="s">
        <v>359</v>
      </c>
      <c r="H12" s="272"/>
      <c r="I12" s="273"/>
      <c r="K12" s="1"/>
      <c r="L12" s="20"/>
      <c r="M12" s="232"/>
      <c r="N12" s="21"/>
      <c r="P12" s="24">
        <f>G11*$R$31</f>
        <v>9.463519999999999</v>
      </c>
      <c r="Q12" s="24"/>
      <c r="R12" s="97" t="s">
        <v>13</v>
      </c>
      <c r="S12" s="97" t="s">
        <v>13</v>
      </c>
      <c r="T12" s="97"/>
      <c r="U12" s="97"/>
      <c r="V12" s="97"/>
      <c r="X12" s="91" t="s">
        <v>14</v>
      </c>
    </row>
    <row r="13" spans="2:32" ht="13.5" thickBot="1" x14ac:dyDescent="0.25">
      <c r="B13" s="232"/>
      <c r="C13" s="20"/>
      <c r="D13" s="1"/>
      <c r="F13" s="89" t="s">
        <v>24</v>
      </c>
      <c r="G13" s="189">
        <v>0</v>
      </c>
      <c r="H13" s="194"/>
      <c r="I13" s="114" t="s">
        <v>321</v>
      </c>
      <c r="K13" s="1"/>
      <c r="L13" s="20"/>
      <c r="M13" s="232"/>
      <c r="N13" s="21"/>
      <c r="Q13" s="97" t="s">
        <v>16</v>
      </c>
      <c r="R13" s="97" t="s">
        <v>17</v>
      </c>
      <c r="S13" s="97" t="s">
        <v>18</v>
      </c>
      <c r="T13" s="97" t="s">
        <v>19</v>
      </c>
      <c r="U13" s="97" t="s">
        <v>20</v>
      </c>
      <c r="V13" s="97" t="s">
        <v>21</v>
      </c>
      <c r="W13" s="113" t="s">
        <v>22</v>
      </c>
      <c r="X13" s="113" t="s">
        <v>23</v>
      </c>
      <c r="Y13" s="152" t="s">
        <v>158</v>
      </c>
    </row>
    <row r="14" spans="2:32" ht="13.5" thickBot="1" x14ac:dyDescent="0.25">
      <c r="B14" s="232"/>
      <c r="C14" s="20"/>
      <c r="D14" s="1"/>
      <c r="F14" s="89" t="s">
        <v>26</v>
      </c>
      <c r="G14" s="189" t="s">
        <v>27</v>
      </c>
      <c r="H14" s="218"/>
      <c r="I14" s="114" t="s">
        <v>321</v>
      </c>
      <c r="K14" s="1"/>
      <c r="L14" s="20"/>
      <c r="M14" s="232"/>
      <c r="N14" s="21"/>
      <c r="P14" s="97" t="s">
        <v>9</v>
      </c>
      <c r="Q14" s="190"/>
      <c r="R14" s="97"/>
      <c r="S14" s="97"/>
      <c r="T14" s="97"/>
      <c r="U14" s="97"/>
      <c r="V14" s="97"/>
      <c r="X14" s="91" t="s">
        <v>25</v>
      </c>
    </row>
    <row r="15" spans="2:32" ht="13.9" customHeight="1" thickBot="1" x14ac:dyDescent="0.25">
      <c r="B15" s="232"/>
      <c r="C15" s="20"/>
      <c r="D15" s="1"/>
      <c r="F15" s="89" t="s">
        <v>28</v>
      </c>
      <c r="G15" s="189" t="s">
        <v>27</v>
      </c>
      <c r="H15" s="218"/>
      <c r="I15" s="114" t="s">
        <v>323</v>
      </c>
      <c r="K15" s="1"/>
      <c r="L15" s="20"/>
      <c r="M15" s="232"/>
      <c r="N15" s="21"/>
      <c r="P15" s="192">
        <f>IF(H10="PSI",G10,G10/P16)</f>
        <v>2000</v>
      </c>
      <c r="Q15" s="191" t="str">
        <f>G12</f>
        <v>COMET2-300, SH, 12 VDC</v>
      </c>
      <c r="R15" s="24">
        <f>VLOOKUP($Q$15,'CalData-FUS'!$B$3:$J$21,4,FALSE)</f>
        <v>59.526342502493897</v>
      </c>
      <c r="S15" s="24">
        <f ca="1">VLOOKUP($Q$15,'CalData-FUS'!$B$3:$J$21,5,FALSE)</f>
        <v>13.860672633998494</v>
      </c>
      <c r="T15" s="30">
        <f>VLOOKUP($Q$15,'CalData-FUS'!$B$3:$J$21,6,FALSE)</f>
        <v>16</v>
      </c>
      <c r="U15" s="24">
        <f>IF(T15=16,12,24)</f>
        <v>12</v>
      </c>
      <c r="V15" s="24">
        <f>VLOOKUP($Q$15,'CalData-FUS'!$B$3:$J$216,7,FALSE)</f>
        <v>3000</v>
      </c>
      <c r="W15" s="24">
        <f>VLOOKUP($Q$15,'CalData-FUS'!$B$3:$J$21,8,FALSE)</f>
        <v>1000</v>
      </c>
      <c r="X15" s="24">
        <f>VLOOKUP($Q$15,'CalData-FUS'!$B$3:$J$21,9,FALSE)</f>
        <v>257.154</v>
      </c>
      <c r="Y15">
        <f>VLOOKUP($Q$15,'CalData-FUS'!$B$3:$M$21,12,FALSE)</f>
        <v>300</v>
      </c>
    </row>
    <row r="16" spans="2:32" ht="13.9" customHeight="1" thickBot="1" x14ac:dyDescent="0.25">
      <c r="B16" s="232"/>
      <c r="C16" s="20"/>
      <c r="D16" s="1"/>
      <c r="F16" s="89" t="s">
        <v>279</v>
      </c>
      <c r="G16" s="189" t="s">
        <v>27</v>
      </c>
      <c r="H16" s="218"/>
      <c r="I16" s="114" t="s">
        <v>324</v>
      </c>
      <c r="K16" s="1"/>
      <c r="L16" s="20"/>
      <c r="M16" s="232"/>
      <c r="N16" s="21"/>
      <c r="P16" s="24">
        <v>6.8947599999999998</v>
      </c>
      <c r="T16" s="18"/>
    </row>
    <row r="17" spans="2:27" ht="13.9" customHeight="1" thickBot="1" x14ac:dyDescent="0.25">
      <c r="B17" s="232"/>
      <c r="C17" s="20"/>
      <c r="D17" s="1"/>
      <c r="F17" s="8" t="s">
        <v>29</v>
      </c>
      <c r="G17" s="99">
        <v>100</v>
      </c>
      <c r="H17" s="218"/>
      <c r="I17" s="195" t="s">
        <v>325</v>
      </c>
      <c r="K17" s="1"/>
      <c r="L17" s="20"/>
      <c r="M17" s="232"/>
      <c r="N17" s="21"/>
      <c r="P17" s="91"/>
      <c r="T17" s="162"/>
    </row>
    <row r="18" spans="2:27" ht="15" customHeight="1" thickBot="1" x14ac:dyDescent="0.25">
      <c r="B18" s="232"/>
      <c r="C18" s="20"/>
      <c r="D18" s="1"/>
      <c r="F18" s="89" t="s">
        <v>31</v>
      </c>
      <c r="G18" s="98" t="s">
        <v>63</v>
      </c>
      <c r="H18" s="218"/>
      <c r="I18" s="195" t="str">
        <f>VLOOKUP(G18,V31:W35,2,FALSE)</f>
        <v>-4 degF</v>
      </c>
      <c r="K18" s="1"/>
      <c r="L18" s="20"/>
      <c r="M18" s="232"/>
      <c r="N18" s="21"/>
      <c r="Q18" s="185" t="s">
        <v>347</v>
      </c>
    </row>
    <row r="19" spans="2:27" ht="13.5" thickBot="1" x14ac:dyDescent="0.25">
      <c r="B19" s="232"/>
      <c r="C19" s="20"/>
      <c r="D19" s="1"/>
      <c r="F19" s="89" t="s">
        <v>36</v>
      </c>
      <c r="G19" s="17">
        <v>4</v>
      </c>
      <c r="H19" s="218"/>
      <c r="I19" s="195" t="s">
        <v>328</v>
      </c>
      <c r="K19" s="1"/>
      <c r="L19" s="20"/>
      <c r="M19" s="232"/>
      <c r="N19" s="21"/>
      <c r="O19" s="18"/>
      <c r="P19" s="18"/>
      <c r="Q19" s="115" t="s">
        <v>30</v>
      </c>
      <c r="R19" s="24">
        <v>0.5</v>
      </c>
      <c r="S19" s="24">
        <f>IF(G13=0,0,R19)</f>
        <v>0</v>
      </c>
    </row>
    <row r="20" spans="2:27" ht="13.5" thickBot="1" x14ac:dyDescent="0.25">
      <c r="B20" s="232"/>
      <c r="C20" s="20"/>
      <c r="D20" s="1"/>
      <c r="F20" s="118" t="s">
        <v>364</v>
      </c>
      <c r="G20" s="179">
        <f ca="1">IF(MPPT="Yes",Q89/(R48*Q70),Q89/(R48*Q69))</f>
        <v>105.98015259818811</v>
      </c>
      <c r="H20" s="12"/>
      <c r="I20" s="114" t="s">
        <v>18</v>
      </c>
      <c r="K20" s="1"/>
      <c r="L20" s="20"/>
      <c r="M20" s="232"/>
      <c r="N20" s="21"/>
      <c r="O20" s="18"/>
      <c r="P20" s="18"/>
      <c r="Q20" s="115" t="s">
        <v>33</v>
      </c>
      <c r="R20" s="24">
        <v>0.75</v>
      </c>
      <c r="S20" s="24">
        <f>IF(G14="Yes",R20,0)</f>
        <v>0</v>
      </c>
      <c r="U20" s="91" t="s">
        <v>34</v>
      </c>
      <c r="V20">
        <v>21.4</v>
      </c>
      <c r="W20" s="91" t="s">
        <v>35</v>
      </c>
    </row>
    <row r="21" spans="2:27" ht="13.5" thickBot="1" x14ac:dyDescent="0.25">
      <c r="B21" s="232"/>
      <c r="C21" s="20"/>
      <c r="D21" s="1"/>
      <c r="F21" s="118" t="s">
        <v>326</v>
      </c>
      <c r="G21" s="193">
        <v>110</v>
      </c>
      <c r="H21" s="219"/>
      <c r="I21" s="114" t="s">
        <v>327</v>
      </c>
      <c r="K21" s="1"/>
      <c r="L21" s="20"/>
      <c r="M21" s="232"/>
      <c r="N21" s="21"/>
      <c r="O21" s="18"/>
      <c r="P21" s="90"/>
      <c r="Q21" s="115" t="s">
        <v>37</v>
      </c>
      <c r="R21" s="24">
        <v>0.5</v>
      </c>
      <c r="S21" s="24">
        <f>IF(G15="Yes",R21,0)</f>
        <v>0</v>
      </c>
      <c r="U21" s="91" t="s">
        <v>38</v>
      </c>
      <c r="V21">
        <v>138</v>
      </c>
      <c r="W21" s="90" t="s">
        <v>39</v>
      </c>
    </row>
    <row r="22" spans="2:27" ht="13.5" thickBot="1" x14ac:dyDescent="0.25">
      <c r="B22" s="232"/>
      <c r="C22" s="20"/>
      <c r="D22" s="1"/>
      <c r="F22" s="121" t="s">
        <v>316</v>
      </c>
      <c r="G22" s="193">
        <v>12</v>
      </c>
      <c r="H22" s="220"/>
      <c r="I22" s="197" t="s">
        <v>291</v>
      </c>
      <c r="K22" s="1"/>
      <c r="L22" s="20"/>
      <c r="M22" s="232"/>
      <c r="N22" s="21"/>
      <c r="O22" s="18"/>
      <c r="P22" s="18"/>
      <c r="Q22" s="115" t="s">
        <v>40</v>
      </c>
      <c r="R22" s="24"/>
      <c r="S22" s="24">
        <f>SUM(S19:S21)</f>
        <v>0</v>
      </c>
      <c r="V22">
        <f>V20/3.6</f>
        <v>5.9444444444444438</v>
      </c>
      <c r="W22" s="90" t="s">
        <v>41</v>
      </c>
      <c r="Y22">
        <v>0.96</v>
      </c>
    </row>
    <row r="23" spans="2:27" ht="13.5" thickBot="1" x14ac:dyDescent="0.25">
      <c r="B23" s="232"/>
      <c r="C23" s="20"/>
      <c r="D23" s="1"/>
      <c r="F23" s="200"/>
      <c r="G23" s="201"/>
      <c r="H23" s="196"/>
      <c r="I23" s="198"/>
      <c r="K23" s="1"/>
      <c r="L23" s="20"/>
      <c r="M23" s="232"/>
      <c r="N23" s="21"/>
      <c r="O23" s="18"/>
      <c r="P23" s="18"/>
      <c r="Q23" s="90"/>
      <c r="R23" s="18"/>
      <c r="S23" s="18"/>
      <c r="T23" s="18"/>
      <c r="U23" s="18"/>
      <c r="V23" s="18">
        <f>V21/31</f>
        <v>4.4516129032258061</v>
      </c>
      <c r="W23" s="91" t="s">
        <v>42</v>
      </c>
    </row>
    <row r="24" spans="2:27" ht="13.5" thickBot="1" x14ac:dyDescent="0.25">
      <c r="B24" s="232"/>
      <c r="C24" s="20"/>
      <c r="D24" s="1"/>
      <c r="F24" s="233" t="s">
        <v>329</v>
      </c>
      <c r="G24" s="202"/>
      <c r="H24" s="203"/>
      <c r="I24" s="216"/>
      <c r="K24" s="1"/>
      <c r="L24" s="20"/>
      <c r="M24" s="232"/>
      <c r="N24" s="21"/>
      <c r="O24" s="18"/>
      <c r="P24" s="18"/>
      <c r="Q24" s="90"/>
      <c r="R24" s="18"/>
      <c r="S24" s="18"/>
      <c r="T24" s="18"/>
      <c r="U24" s="18"/>
      <c r="V24" s="18"/>
      <c r="W24" s="91"/>
    </row>
    <row r="25" spans="2:27" ht="13.5" thickBot="1" x14ac:dyDescent="0.25">
      <c r="B25" s="232"/>
      <c r="C25" s="20"/>
      <c r="D25" s="1"/>
      <c r="F25" s="87" t="s">
        <v>77</v>
      </c>
      <c r="G25" s="210">
        <f ca="1">CEILING(Bat.Cap.Req/Bat.Cap,1)*V.Panel/16</f>
        <v>2</v>
      </c>
      <c r="H25" s="196"/>
      <c r="I25" s="217" t="s">
        <v>366</v>
      </c>
      <c r="K25" s="1"/>
      <c r="L25" s="20"/>
      <c r="M25" s="232"/>
      <c r="N25" s="21"/>
      <c r="O25" s="162"/>
      <c r="P25" s="162"/>
      <c r="Q25" s="90"/>
      <c r="R25" s="162"/>
      <c r="S25" s="162"/>
      <c r="T25" s="162"/>
      <c r="U25" s="162"/>
      <c r="V25" s="162"/>
      <c r="W25" s="91"/>
    </row>
    <row r="26" spans="2:27" ht="13.5" thickBot="1" x14ac:dyDescent="0.25">
      <c r="B26" s="232"/>
      <c r="C26" s="20"/>
      <c r="D26" s="1"/>
      <c r="F26" s="87" t="s">
        <v>79</v>
      </c>
      <c r="G26" s="212">
        <f ca="1">(G25*16/V.Panel*Bat.Cap-Bat.Cap.Req)/Bat.Cap.Req</f>
        <v>0.26256498960048219</v>
      </c>
      <c r="H26" s="196"/>
      <c r="I26" s="217"/>
      <c r="K26" s="1"/>
      <c r="L26" s="20"/>
      <c r="M26" s="232"/>
      <c r="N26" s="21"/>
      <c r="O26" s="18"/>
      <c r="P26" s="18"/>
      <c r="Q26" s="90"/>
      <c r="R26" s="18"/>
      <c r="S26" s="18"/>
      <c r="T26" s="18"/>
      <c r="U26" s="18"/>
      <c r="V26" s="18"/>
      <c r="W26" s="91"/>
    </row>
    <row r="27" spans="2:27" ht="13.5" thickBot="1" x14ac:dyDescent="0.25">
      <c r="B27" s="232"/>
      <c r="C27" s="20"/>
      <c r="D27" s="1"/>
      <c r="F27" s="87" t="s">
        <v>82</v>
      </c>
      <c r="G27" s="210">
        <f ca="1">G25*Bat.Cap/Bat.Cap.Req*G19*16/V.Panel</f>
        <v>5.050259958401929</v>
      </c>
      <c r="H27" s="196"/>
      <c r="I27" s="88" t="s">
        <v>83</v>
      </c>
      <c r="K27" s="1"/>
      <c r="L27" s="20"/>
      <c r="M27" s="232"/>
      <c r="N27" s="21"/>
      <c r="O27" s="18"/>
      <c r="P27" s="18"/>
      <c r="Q27" s="18"/>
      <c r="S27" s="18"/>
      <c r="T27" s="18"/>
      <c r="U27" s="18"/>
      <c r="V27">
        <f>V22/V23</f>
        <v>1.3353462157809983</v>
      </c>
    </row>
    <row r="28" spans="2:27" ht="13.5" thickBot="1" x14ac:dyDescent="0.25">
      <c r="B28" s="232"/>
      <c r="C28" s="20"/>
      <c r="D28" s="1"/>
      <c r="F28" s="118" t="s">
        <v>111</v>
      </c>
      <c r="G28" s="210">
        <f ca="1">IF(AND(V.Panel=32,G22=12),EVEN(Q89/Q88), CEILING(Q89/Q88,1))</f>
        <v>1</v>
      </c>
      <c r="H28" s="196"/>
      <c r="I28" s="120" t="s">
        <v>112</v>
      </c>
      <c r="K28" s="1"/>
      <c r="L28" s="20"/>
      <c r="M28" s="232"/>
      <c r="N28" s="21"/>
      <c r="O28" s="18"/>
      <c r="P28" s="242"/>
      <c r="Q28" s="241" t="s">
        <v>43</v>
      </c>
      <c r="R28" s="15">
        <f>T15</f>
        <v>16</v>
      </c>
      <c r="T28" s="187" t="s">
        <v>44</v>
      </c>
      <c r="U28" s="18"/>
      <c r="V28">
        <f>1/V27</f>
        <v>0.7488694603557432</v>
      </c>
      <c r="W28" t="s">
        <v>45</v>
      </c>
    </row>
    <row r="29" spans="2:27" ht="13.5" thickBot="1" x14ac:dyDescent="0.25">
      <c r="B29" s="232"/>
      <c r="C29" s="20"/>
      <c r="D29" s="1"/>
      <c r="F29" s="118" t="s">
        <v>331</v>
      </c>
      <c r="G29" s="210">
        <f>VLOOKUP(G9,SOLAR_DATA!D10:J58,7,FALSE)</f>
        <v>56.6</v>
      </c>
      <c r="H29" s="187"/>
      <c r="I29" s="117" t="s">
        <v>330</v>
      </c>
      <c r="K29" s="1"/>
      <c r="L29" s="20"/>
      <c r="M29" s="232"/>
      <c r="N29" s="21"/>
      <c r="O29" s="18"/>
      <c r="P29" s="18"/>
      <c r="Q29" s="18"/>
    </row>
    <row r="30" spans="2:27" ht="13.5" thickBot="1" x14ac:dyDescent="0.25">
      <c r="B30" s="232"/>
      <c r="C30" s="20"/>
      <c r="D30" s="1"/>
      <c r="F30" s="118" t="s">
        <v>363</v>
      </c>
      <c r="G30" s="234">
        <f ca="1">(Q88*G28/Q89)-1</f>
        <v>3.79301907315861E-2</v>
      </c>
      <c r="H30" s="196"/>
      <c r="I30" s="120" t="s">
        <v>115</v>
      </c>
      <c r="K30" s="1"/>
      <c r="L30" s="20"/>
      <c r="M30" s="232"/>
      <c r="N30" s="21"/>
      <c r="O30" s="18"/>
      <c r="P30" s="90" t="s">
        <v>48</v>
      </c>
      <c r="Q30" s="18"/>
      <c r="V30" s="24" t="s">
        <v>277</v>
      </c>
      <c r="W30" s="24"/>
      <c r="Z30">
        <f>Pavg*G11/3.785*0.000596</f>
        <v>3.2122589167767504</v>
      </c>
      <c r="AA30" t="s">
        <v>49</v>
      </c>
    </row>
    <row r="31" spans="2:27" x14ac:dyDescent="0.2">
      <c r="B31" s="232"/>
      <c r="C31" s="20"/>
      <c r="D31" s="1"/>
      <c r="F31" s="270" t="s">
        <v>278</v>
      </c>
      <c r="G31" s="274" t="str">
        <f>CONCATENATE(IF(Q&gt;X15,"Exceeding Pump Volume Capacity",""))</f>
        <v/>
      </c>
      <c r="H31" s="275"/>
      <c r="I31" s="276"/>
      <c r="K31" s="1"/>
      <c r="L31" s="20"/>
      <c r="M31" s="232"/>
      <c r="N31" s="21"/>
      <c r="O31" s="18"/>
      <c r="P31" s="24">
        <f>X15/$R$31</f>
        <v>271.73187143895717</v>
      </c>
      <c r="Q31" s="30" t="s">
        <v>51</v>
      </c>
      <c r="R31" s="24">
        <f>VLOOKUP(H11,Q34:R36,2,FALSE)</f>
        <v>0.94635199999999997</v>
      </c>
      <c r="S31" s="97" t="s">
        <v>52</v>
      </c>
      <c r="T31" s="97" t="s">
        <v>53</v>
      </c>
      <c r="V31" s="163" t="s">
        <v>54</v>
      </c>
      <c r="W31" s="164" t="s">
        <v>55</v>
      </c>
      <c r="Z31">
        <f>Z30*24</f>
        <v>77.094214002642005</v>
      </c>
      <c r="AA31" t="s">
        <v>56</v>
      </c>
    </row>
    <row r="32" spans="2:27" ht="13.5" customHeight="1" x14ac:dyDescent="0.2">
      <c r="B32" s="232"/>
      <c r="C32" s="20"/>
      <c r="D32" s="1"/>
      <c r="F32" s="270"/>
      <c r="G32" s="257" t="str">
        <f>CONCATENATE(IF(Pavg&gt;V15,"Exceeding Pump Pressure Rating",""))</f>
        <v/>
      </c>
      <c r="H32" s="258"/>
      <c r="I32" s="259"/>
      <c r="K32" s="1"/>
      <c r="L32" s="20"/>
      <c r="M32" s="232"/>
      <c r="N32" s="21"/>
      <c r="O32" s="18"/>
      <c r="P32" s="18"/>
      <c r="Q32" s="30"/>
      <c r="R32" s="24"/>
      <c r="S32" s="24"/>
      <c r="T32" s="24"/>
      <c r="V32" s="163" t="s">
        <v>58</v>
      </c>
      <c r="W32" s="164" t="s">
        <v>59</v>
      </c>
    </row>
    <row r="33" spans="2:27" x14ac:dyDescent="0.2">
      <c r="B33" s="232"/>
      <c r="C33" s="20"/>
      <c r="D33" s="1"/>
      <c r="F33" s="270"/>
      <c r="G33" s="257" t="str">
        <f>IF(AND(VLOOKUP($G$12,'CalData-FUS'!B$3:L$21,11, FALSE)=0,G13&gt;0),CONCATENATE("Pump not compatible with multipoint")," ")</f>
        <v xml:space="preserve"> </v>
      </c>
      <c r="H33" s="258"/>
      <c r="I33" s="259"/>
      <c r="K33" s="1"/>
      <c r="L33" s="20"/>
      <c r="M33" s="232"/>
      <c r="N33" s="21"/>
      <c r="O33" s="18"/>
      <c r="P33" s="24"/>
      <c r="Q33" s="30" t="s">
        <v>60</v>
      </c>
      <c r="R33" s="24" t="s">
        <v>61</v>
      </c>
      <c r="S33" s="24" t="s">
        <v>62</v>
      </c>
      <c r="T33" s="31">
        <f>10/12/V.Panel*16</f>
        <v>0.83333333333333337</v>
      </c>
      <c r="V33" s="163" t="s">
        <v>63</v>
      </c>
      <c r="W33" s="164" t="s">
        <v>64</v>
      </c>
    </row>
    <row r="34" spans="2:27" x14ac:dyDescent="0.2">
      <c r="B34" s="232"/>
      <c r="C34" s="20"/>
      <c r="D34" s="1"/>
      <c r="F34" s="270"/>
      <c r="G34" s="229" t="str">
        <f>IF(AND(VLOOKUP($G$12,'CalData-FUS'!B$3:L$21,11, FALSE)=2,G13&gt;0),CONCATENATE("HP Valves Required")," ")</f>
        <v xml:space="preserve"> </v>
      </c>
      <c r="H34" s="235"/>
      <c r="I34" s="230"/>
      <c r="K34" s="1"/>
      <c r="L34" s="20"/>
      <c r="M34" s="232"/>
      <c r="N34" s="21"/>
      <c r="O34" s="18"/>
      <c r="P34" s="18"/>
      <c r="Q34" s="30" t="s">
        <v>25</v>
      </c>
      <c r="R34" s="24">
        <v>1</v>
      </c>
      <c r="S34" s="24" t="s">
        <v>27</v>
      </c>
      <c r="T34" s="24">
        <v>0</v>
      </c>
      <c r="V34" s="163" t="s">
        <v>65</v>
      </c>
      <c r="W34" s="164" t="s">
        <v>66</v>
      </c>
      <c r="Z34">
        <f ca="1">Pwr.Day*24</f>
        <v>7983.7474371831331</v>
      </c>
      <c r="AA34" t="s">
        <v>67</v>
      </c>
    </row>
    <row r="35" spans="2:27" ht="13.5" thickBot="1" x14ac:dyDescent="0.25">
      <c r="B35" s="232"/>
      <c r="C35" s="20"/>
      <c r="D35" s="1"/>
      <c r="F35" s="271"/>
      <c r="G35" s="260" t="str">
        <f>IF(AND(VLOOKUP($G$12,'CalData-FUS'!B3:L21,10, FALSE)=0,G14 = "Yes"),CONCATENATE("Pump not compatible with InSight")," ")</f>
        <v xml:space="preserve"> </v>
      </c>
      <c r="H35" s="261"/>
      <c r="I35" s="262"/>
      <c r="K35" s="1"/>
      <c r="L35" s="20"/>
      <c r="M35" s="232"/>
      <c r="N35" s="21"/>
      <c r="O35" s="18"/>
      <c r="P35" s="18"/>
      <c r="Q35" s="30" t="s">
        <v>68</v>
      </c>
      <c r="R35" s="24">
        <v>0.94635199999999997</v>
      </c>
      <c r="V35" s="24" t="s">
        <v>32</v>
      </c>
      <c r="W35" s="164" t="s">
        <v>69</v>
      </c>
      <c r="Z35">
        <f ca="1">Z31/Z34</f>
        <v>9.6563943948911775E-3</v>
      </c>
      <c r="AA35" t="s">
        <v>70</v>
      </c>
    </row>
    <row r="36" spans="2:27" ht="13.5" thickBot="1" x14ac:dyDescent="0.25">
      <c r="B36" s="232"/>
      <c r="C36" s="20"/>
      <c r="D36" s="1"/>
      <c r="K36" s="1"/>
      <c r="L36" s="20"/>
      <c r="M36" s="232"/>
      <c r="N36" s="21"/>
      <c r="O36" s="18"/>
      <c r="P36" s="18"/>
      <c r="Q36" s="30" t="s">
        <v>12</v>
      </c>
      <c r="R36" s="24">
        <v>3.7854117999999999</v>
      </c>
    </row>
    <row r="37" spans="2:27" ht="13.5" thickBot="1" x14ac:dyDescent="0.25">
      <c r="B37" s="232"/>
      <c r="C37" s="20"/>
      <c r="D37" s="1"/>
      <c r="F37" s="9" t="s">
        <v>46</v>
      </c>
      <c r="G37" s="10"/>
      <c r="H37" s="10"/>
      <c r="I37" s="6"/>
      <c r="K37" s="1"/>
      <c r="L37" s="20"/>
      <c r="M37" s="232"/>
      <c r="N37" s="21"/>
      <c r="O37" s="18"/>
      <c r="P37" s="18"/>
      <c r="Q37" s="18"/>
    </row>
    <row r="38" spans="2:27" ht="13.5" thickBot="1" x14ac:dyDescent="0.25">
      <c r="B38" s="232"/>
      <c r="C38" s="20"/>
      <c r="D38" s="1"/>
      <c r="F38" s="87" t="s">
        <v>47</v>
      </c>
      <c r="G38" s="255" t="str">
        <f>IF(R15&lt;Y15,"Intermitent","Continuous")</f>
        <v>Intermitent</v>
      </c>
      <c r="H38" s="256"/>
      <c r="I38" s="7"/>
      <c r="K38" s="1"/>
      <c r="L38" s="20"/>
      <c r="M38" s="232"/>
      <c r="N38" s="21"/>
    </row>
    <row r="39" spans="2:27" ht="13.5" thickBot="1" x14ac:dyDescent="0.25">
      <c r="B39" s="232"/>
      <c r="C39" s="20"/>
      <c r="D39" s="1"/>
      <c r="F39" s="87" t="s">
        <v>50</v>
      </c>
      <c r="G39" s="183">
        <f>IF(G13=0,P31,((60/G13)-2.5)/(60)*P31)</f>
        <v>271.73187143895717</v>
      </c>
      <c r="H39" s="13"/>
      <c r="I39" s="88" t="str">
        <f>H11</f>
        <v>US-Quarts/day</v>
      </c>
      <c r="K39" s="1"/>
      <c r="L39" s="20"/>
      <c r="M39" s="232"/>
      <c r="N39" s="21"/>
      <c r="P39" s="97" t="s">
        <v>308</v>
      </c>
      <c r="Q39" s="171">
        <v>40</v>
      </c>
      <c r="R39" s="97" t="s">
        <v>165</v>
      </c>
    </row>
    <row r="40" spans="2:27" ht="13.5" customHeight="1" thickBot="1" x14ac:dyDescent="0.25">
      <c r="B40" s="232"/>
      <c r="C40" s="20"/>
      <c r="D40" s="1"/>
      <c r="F40" s="87" t="s">
        <v>57</v>
      </c>
      <c r="G40" s="182">
        <f>IF(G13=0,Q/X15,G11/G13/Q.Pavg)</f>
        <v>3.680098306851147E-2</v>
      </c>
      <c r="H40" s="187"/>
      <c r="I40" s="7"/>
      <c r="K40" s="1"/>
      <c r="L40" s="20"/>
      <c r="M40" s="232"/>
      <c r="N40" s="21"/>
      <c r="P40" s="97" t="s">
        <v>309</v>
      </c>
      <c r="Q40" s="172">
        <f>P15+Q39</f>
        <v>2040</v>
      </c>
      <c r="R40" s="97" t="s">
        <v>165</v>
      </c>
    </row>
    <row r="41" spans="2:27" ht="13.5" thickBot="1" x14ac:dyDescent="0.25">
      <c r="B41" s="232"/>
      <c r="C41" s="20"/>
      <c r="D41" s="1"/>
      <c r="F41" s="14" t="s">
        <v>340</v>
      </c>
      <c r="G41" s="187"/>
      <c r="H41" s="187"/>
      <c r="I41" s="7"/>
      <c r="K41" s="1"/>
      <c r="L41" s="20"/>
      <c r="M41" s="232"/>
      <c r="N41" s="21"/>
    </row>
    <row r="42" spans="2:27" ht="13.5" thickBot="1" x14ac:dyDescent="0.25">
      <c r="B42" s="232"/>
      <c r="C42" s="20"/>
      <c r="D42" s="1"/>
      <c r="F42" s="87" t="s">
        <v>341</v>
      </c>
      <c r="G42" s="181">
        <f ca="1">S15</f>
        <v>13.860672633998494</v>
      </c>
      <c r="H42" s="205"/>
      <c r="I42" s="88" t="s">
        <v>18</v>
      </c>
      <c r="K42" s="1"/>
      <c r="L42" s="20"/>
      <c r="M42" s="232"/>
      <c r="N42" s="21"/>
    </row>
    <row r="43" spans="2:27" ht="13.5" thickBot="1" x14ac:dyDescent="0.25">
      <c r="B43" s="232"/>
      <c r="C43" s="20"/>
      <c r="D43" s="1"/>
      <c r="F43" s="87" t="s">
        <v>71</v>
      </c>
      <c r="G43" s="180">
        <f>$S$22</f>
        <v>0</v>
      </c>
      <c r="H43" s="206"/>
      <c r="I43" s="88" t="s">
        <v>18</v>
      </c>
      <c r="K43" s="1"/>
      <c r="L43" s="20"/>
      <c r="M43" s="232"/>
      <c r="N43" s="21"/>
      <c r="R43" s="96">
        <f>Q88</f>
        <v>345.27385417617921</v>
      </c>
      <c r="S43" s="118" t="s">
        <v>109</v>
      </c>
    </row>
    <row r="44" spans="2:27" ht="13.5" thickBot="1" x14ac:dyDescent="0.25">
      <c r="B44" s="232"/>
      <c r="C44" s="20"/>
      <c r="D44" s="1"/>
      <c r="F44" s="11" t="s">
        <v>72</v>
      </c>
      <c r="G44" s="181">
        <f ca="1">SUM(G42:G43)*24</f>
        <v>332.65614321596388</v>
      </c>
      <c r="H44" s="196"/>
      <c r="I44" s="88" t="s">
        <v>339</v>
      </c>
      <c r="J44" s="16"/>
      <c r="K44" s="1"/>
      <c r="L44" s="20"/>
      <c r="M44" s="232"/>
      <c r="N44" s="21"/>
      <c r="R44" s="96">
        <f ca="1">Q89</f>
        <v>332.65614321596388</v>
      </c>
      <c r="S44" s="118" t="s">
        <v>105</v>
      </c>
    </row>
    <row r="45" spans="2:27" ht="12.75" customHeight="1" thickBot="1" x14ac:dyDescent="0.25">
      <c r="B45" s="232"/>
      <c r="C45" s="20"/>
      <c r="D45" s="1"/>
      <c r="F45" s="87" t="s">
        <v>342</v>
      </c>
      <c r="G45" s="179">
        <f ca="1">Pwr.Day*G19</f>
        <v>1330.6245728638555</v>
      </c>
      <c r="H45" s="207"/>
      <c r="I45" s="88" t="s">
        <v>339</v>
      </c>
      <c r="K45" s="1"/>
      <c r="L45" s="20"/>
      <c r="M45" s="232"/>
      <c r="N45" s="21"/>
      <c r="R45" s="24">
        <f ca="1">R43/R44</f>
        <v>1.0379301907315861</v>
      </c>
    </row>
    <row r="46" spans="2:27" ht="12.75" customHeight="1" thickBot="1" x14ac:dyDescent="0.25">
      <c r="B46" s="232"/>
      <c r="C46" s="20"/>
      <c r="D46" s="1"/>
      <c r="F46" s="87" t="s">
        <v>75</v>
      </c>
      <c r="G46" s="179">
        <f ca="1">Pwr.10.Day/(F.temp*F.disch)/U15</f>
        <v>158.4076872456971</v>
      </c>
      <c r="H46" s="196"/>
      <c r="I46" s="88" t="s">
        <v>325</v>
      </c>
      <c r="K46" s="1"/>
      <c r="L46" s="20"/>
      <c r="M46" s="232"/>
      <c r="N46" s="21"/>
      <c r="R46" s="24"/>
    </row>
    <row r="47" spans="2:27" ht="13.5" thickBot="1" x14ac:dyDescent="0.25">
      <c r="B47" s="232"/>
      <c r="C47" s="20"/>
      <c r="D47" s="1"/>
      <c r="F47" s="14" t="s">
        <v>332</v>
      </c>
      <c r="G47" s="187"/>
      <c r="H47" s="187"/>
      <c r="I47" s="7"/>
      <c r="K47" s="1"/>
      <c r="L47" s="20"/>
      <c r="M47" s="232"/>
      <c r="N47" s="21"/>
      <c r="R47" s="24"/>
    </row>
    <row r="48" spans="2:27" ht="13.5" thickBot="1" x14ac:dyDescent="0.25">
      <c r="B48" s="232"/>
      <c r="C48" s="20"/>
      <c r="D48" s="1"/>
      <c r="F48" s="118" t="s">
        <v>334</v>
      </c>
      <c r="G48" s="211">
        <f>VLOOKUP(G9,SOLAR_DATA!D10:J58,2,FALSE)/30</f>
        <v>3.9</v>
      </c>
      <c r="H48" s="187"/>
      <c r="I48" s="117" t="s">
        <v>333</v>
      </c>
      <c r="K48" s="1"/>
      <c r="L48" s="20"/>
      <c r="M48" s="232"/>
      <c r="N48" s="21"/>
      <c r="R48" s="24">
        <f>IF(Q86&lt;48.9,G49,G48*Q73)</f>
        <v>4.0999999999999996</v>
      </c>
      <c r="S48" t="s">
        <v>318</v>
      </c>
    </row>
    <row r="49" spans="1:19" ht="13.5" thickBot="1" x14ac:dyDescent="0.25">
      <c r="B49" s="232"/>
      <c r="C49" s="20"/>
      <c r="D49" s="1"/>
      <c r="F49" s="118" t="s">
        <v>335</v>
      </c>
      <c r="G49" s="211">
        <f>VLOOKUP(G9,SOLAR_DATA!D10:J58,3,FALSE)/30</f>
        <v>4.0999999999999996</v>
      </c>
      <c r="H49" s="187"/>
      <c r="I49" s="117" t="s">
        <v>333</v>
      </c>
      <c r="K49" s="1"/>
      <c r="L49" s="20"/>
      <c r="M49" s="232"/>
      <c r="N49" s="21"/>
    </row>
    <row r="50" spans="1:19" ht="13.5" thickBot="1" x14ac:dyDescent="0.25">
      <c r="B50" s="232"/>
      <c r="C50" s="20"/>
      <c r="D50" s="1"/>
      <c r="F50" s="121" t="s">
        <v>338</v>
      </c>
      <c r="G50" s="179">
        <f ca="1">IF(MPPT="Yes",Q88*G28,Q88*G28)</f>
        <v>345.27385417617921</v>
      </c>
      <c r="H50" s="208"/>
      <c r="I50" s="209" t="s">
        <v>339</v>
      </c>
      <c r="K50" s="1"/>
      <c r="L50" s="20"/>
      <c r="M50" s="232"/>
      <c r="N50" s="21"/>
    </row>
    <row r="51" spans="1:19" ht="6" customHeight="1" x14ac:dyDescent="0.2">
      <c r="B51" s="232"/>
      <c r="C51" s="20"/>
      <c r="D51" s="1"/>
      <c r="K51" s="1"/>
      <c r="L51" s="20"/>
      <c r="M51" s="232"/>
      <c r="N51" s="21"/>
    </row>
    <row r="52" spans="1:19" ht="7.5" customHeight="1" x14ac:dyDescent="0.2">
      <c r="B52" s="232"/>
      <c r="C52" s="20"/>
      <c r="D52" s="1"/>
      <c r="E52" s="236"/>
      <c r="F52" s="236"/>
      <c r="G52" s="236"/>
      <c r="H52" s="236"/>
      <c r="I52" s="236"/>
      <c r="J52" s="236"/>
      <c r="K52" s="236"/>
      <c r="L52" s="20"/>
      <c r="M52" s="232"/>
      <c r="N52" s="21"/>
    </row>
    <row r="53" spans="1:19" ht="9" customHeight="1" x14ac:dyDescent="0.2">
      <c r="A53" s="187"/>
      <c r="B53" s="237"/>
      <c r="C53" s="246"/>
      <c r="D53" s="246"/>
      <c r="E53" s="246"/>
      <c r="F53" s="247"/>
      <c r="G53" s="246"/>
      <c r="H53" s="246"/>
      <c r="I53" s="246"/>
      <c r="J53" s="246"/>
      <c r="K53" s="246"/>
      <c r="L53" s="246"/>
      <c r="M53" s="237"/>
      <c r="N53" s="21"/>
    </row>
    <row r="54" spans="1:19" x14ac:dyDescent="0.2">
      <c r="A54" s="187"/>
      <c r="B54" s="237"/>
      <c r="C54" s="237"/>
      <c r="D54" s="237"/>
      <c r="E54" s="237"/>
      <c r="F54" s="238"/>
      <c r="G54" s="237"/>
      <c r="H54" s="237"/>
      <c r="I54" s="237"/>
      <c r="J54" s="237"/>
      <c r="K54" s="237"/>
      <c r="L54" s="237"/>
      <c r="M54" s="237"/>
      <c r="N54" s="187"/>
      <c r="P54" s="97" t="s">
        <v>284</v>
      </c>
      <c r="Q54" s="97" t="s">
        <v>300</v>
      </c>
      <c r="R54" s="24"/>
    </row>
    <row r="55" spans="1:19" x14ac:dyDescent="0.2">
      <c r="A55" s="187"/>
      <c r="B55" s="187"/>
      <c r="C55" s="187"/>
      <c r="D55" s="218"/>
      <c r="E55" s="187"/>
      <c r="F55" s="200"/>
      <c r="G55" s="187"/>
      <c r="H55" s="187"/>
      <c r="I55" s="187"/>
      <c r="J55" s="187"/>
      <c r="K55" s="218"/>
      <c r="L55" s="187"/>
      <c r="M55" s="187"/>
      <c r="P55" s="97" t="s">
        <v>305</v>
      </c>
      <c r="Q55" s="24">
        <f>13.8/Q59</f>
        <v>0.73678590496529639</v>
      </c>
      <c r="R55" s="115" t="s">
        <v>280</v>
      </c>
      <c r="S55" s="91" t="s">
        <v>301</v>
      </c>
    </row>
    <row r="56" spans="1:19" x14ac:dyDescent="0.2">
      <c r="D56" s="21"/>
      <c r="F56" s="91"/>
      <c r="K56" s="21"/>
      <c r="P56" s="165" t="s">
        <v>304</v>
      </c>
      <c r="Q56" s="24">
        <v>0.95</v>
      </c>
      <c r="R56" s="115" t="s">
        <v>280</v>
      </c>
      <c r="S56" s="91" t="s">
        <v>301</v>
      </c>
    </row>
    <row r="57" spans="1:19" x14ac:dyDescent="0.2">
      <c r="D57" s="21"/>
      <c r="F57" s="91"/>
      <c r="K57" s="21"/>
      <c r="P57" s="165" t="s">
        <v>297</v>
      </c>
      <c r="Q57" s="166">
        <f>-0.43</f>
        <v>-0.43</v>
      </c>
      <c r="R57" s="97" t="s">
        <v>281</v>
      </c>
    </row>
    <row r="58" spans="1:19" x14ac:dyDescent="0.2">
      <c r="D58" s="21"/>
      <c r="F58" s="91"/>
      <c r="P58" s="165" t="s">
        <v>296</v>
      </c>
      <c r="Q58" s="24">
        <v>-0.32</v>
      </c>
      <c r="R58" s="165" t="s">
        <v>295</v>
      </c>
    </row>
    <row r="59" spans="1:19" x14ac:dyDescent="0.2">
      <c r="F59" s="91"/>
      <c r="P59" s="152" t="s">
        <v>298</v>
      </c>
      <c r="Q59">
        <v>18.73</v>
      </c>
      <c r="R59" s="152" t="s">
        <v>299</v>
      </c>
    </row>
    <row r="60" spans="1:19" x14ac:dyDescent="0.2">
      <c r="F60" s="91"/>
      <c r="P60" s="152" t="s">
        <v>311</v>
      </c>
      <c r="Q60">
        <v>8.59</v>
      </c>
      <c r="R60" s="152" t="s">
        <v>312</v>
      </c>
    </row>
    <row r="61" spans="1:19" x14ac:dyDescent="0.2">
      <c r="P61" s="152" t="s">
        <v>313</v>
      </c>
      <c r="Q61">
        <v>9.26</v>
      </c>
      <c r="R61" s="152" t="s">
        <v>312</v>
      </c>
    </row>
    <row r="62" spans="1:19" x14ac:dyDescent="0.2">
      <c r="F62" s="185"/>
      <c r="P62" s="165" t="s">
        <v>282</v>
      </c>
      <c r="Q62" s="24">
        <v>25</v>
      </c>
      <c r="R62" s="97" t="s">
        <v>283</v>
      </c>
    </row>
    <row r="63" spans="1:19" x14ac:dyDescent="0.2">
      <c r="F63" s="91"/>
      <c r="P63" s="97" t="s">
        <v>306</v>
      </c>
      <c r="Q63" s="175">
        <f>VLOOKUP(G9,SOLAR_DATA!D10:L58,9,FALSE)</f>
        <v>-1</v>
      </c>
      <c r="R63" s="165" t="s">
        <v>283</v>
      </c>
      <c r="S63" s="167"/>
    </row>
    <row r="64" spans="1:19" x14ac:dyDescent="0.2">
      <c r="F64" s="91"/>
      <c r="P64" s="165" t="s">
        <v>289</v>
      </c>
      <c r="Q64" s="168">
        <v>-3.8999999999999998E-3</v>
      </c>
      <c r="R64" s="165" t="s">
        <v>290</v>
      </c>
    </row>
    <row r="65" spans="6:18" x14ac:dyDescent="0.2">
      <c r="F65" s="91"/>
      <c r="P65" s="165" t="s">
        <v>289</v>
      </c>
      <c r="Q65" s="176">
        <f>Q64*6</f>
        <v>-2.3399999999999997E-2</v>
      </c>
      <c r="R65" s="165" t="s">
        <v>292</v>
      </c>
    </row>
    <row r="66" spans="6:18" x14ac:dyDescent="0.2">
      <c r="F66" s="91"/>
      <c r="P66" s="165" t="s">
        <v>293</v>
      </c>
      <c r="Q66" s="177">
        <f>13.8+(Q65*(Q63-Q62))</f>
        <v>14.4084</v>
      </c>
      <c r="R66" s="165" t="s">
        <v>291</v>
      </c>
    </row>
    <row r="67" spans="6:18" x14ac:dyDescent="0.2">
      <c r="F67" s="91"/>
      <c r="P67" s="165" t="s">
        <v>294</v>
      </c>
      <c r="Q67" s="175">
        <f>Q66*2</f>
        <v>28.816800000000001</v>
      </c>
      <c r="R67" s="165" t="s">
        <v>291</v>
      </c>
    </row>
    <row r="68" spans="6:18" x14ac:dyDescent="0.2">
      <c r="F68" s="91"/>
      <c r="P68" s="152" t="s">
        <v>302</v>
      </c>
      <c r="Q68" s="178">
        <f>Q59* (1+(Q63-Q62)*Q58/100)</f>
        <v>20.288336000000001</v>
      </c>
    </row>
    <row r="69" spans="6:18" x14ac:dyDescent="0.2">
      <c r="P69" s="165" t="s">
        <v>288</v>
      </c>
      <c r="Q69" s="177">
        <f>Q66/Q68*Q61/Q60</f>
        <v>0.76557395604474332</v>
      </c>
      <c r="R69" s="165" t="s">
        <v>280</v>
      </c>
    </row>
    <row r="70" spans="6:18" x14ac:dyDescent="0.2">
      <c r="P70" s="165" t="s">
        <v>287</v>
      </c>
      <c r="Q70" s="175">
        <f>Q56*(1+Q57/100*(Q63-Q62))</f>
        <v>1.0562099999999999</v>
      </c>
      <c r="R70" s="165" t="s">
        <v>280</v>
      </c>
    </row>
    <row r="71" spans="6:18" x14ac:dyDescent="0.2">
      <c r="P71" s="24"/>
      <c r="Q71" s="24"/>
      <c r="R71" s="24"/>
    </row>
    <row r="72" spans="6:18" x14ac:dyDescent="0.2">
      <c r="P72" s="97" t="s">
        <v>303</v>
      </c>
      <c r="Q72" s="175">
        <f>Q70/Q69</f>
        <v>1.3796315713987932</v>
      </c>
      <c r="R72" s="24"/>
    </row>
    <row r="73" spans="6:18" x14ac:dyDescent="0.2">
      <c r="P73" s="24" t="s">
        <v>317</v>
      </c>
      <c r="Q73" s="169">
        <v>1.25</v>
      </c>
      <c r="R73" s="24"/>
    </row>
    <row r="75" spans="6:18" x14ac:dyDescent="0.2">
      <c r="P75" s="91" t="s">
        <v>314</v>
      </c>
    </row>
    <row r="76" spans="6:18" x14ac:dyDescent="0.2">
      <c r="P76" s="91" t="s">
        <v>310</v>
      </c>
    </row>
    <row r="78" spans="6:18" ht="20.25" x14ac:dyDescent="0.35">
      <c r="F78" s="29"/>
    </row>
    <row r="81" spans="15:24" x14ac:dyDescent="0.2">
      <c r="P81" s="91" t="s">
        <v>322</v>
      </c>
    </row>
    <row r="82" spans="15:24" ht="13.5" thickBot="1" x14ac:dyDescent="0.25"/>
    <row r="83" spans="15:24" ht="13.5" thickBot="1" x14ac:dyDescent="0.25">
      <c r="O83" s="187"/>
      <c r="P83" s="200" t="s">
        <v>315</v>
      </c>
      <c r="Q83" s="173">
        <f>Q72</f>
        <v>1.3796315713987932</v>
      </c>
    </row>
    <row r="84" spans="15:24" ht="13.5" thickBot="1" x14ac:dyDescent="0.25">
      <c r="O84" s="187"/>
      <c r="P84" s="243" t="s">
        <v>73</v>
      </c>
      <c r="Q84" s="184">
        <f>IF(G18="-40C",0.5,IF(G18="-30C",0.6,IF(G18="-20C",0.7,IF(G18="-10C",0.8,0.9))))</f>
        <v>0.7</v>
      </c>
    </row>
    <row r="85" spans="15:24" ht="13.5" thickBot="1" x14ac:dyDescent="0.25">
      <c r="O85" s="187"/>
      <c r="P85" s="244" t="s">
        <v>74</v>
      </c>
      <c r="Q85" s="184">
        <v>1</v>
      </c>
    </row>
    <row r="86" spans="15:24" ht="13.5" thickBot="1" x14ac:dyDescent="0.25">
      <c r="O86" s="187"/>
      <c r="P86" s="200" t="s">
        <v>101</v>
      </c>
      <c r="Q86" s="184">
        <f>VLOOKUP(G9,SOLAR_DATA!D10:J58,6,FALSE)</f>
        <v>41.6</v>
      </c>
      <c r="S86" s="245" t="s">
        <v>102</v>
      </c>
      <c r="T86" s="187"/>
    </row>
    <row r="87" spans="15:24" ht="13.5" thickBot="1" x14ac:dyDescent="0.25">
      <c r="O87" s="187"/>
      <c r="T87" s="187"/>
    </row>
    <row r="88" spans="15:24" ht="13.5" thickBot="1" x14ac:dyDescent="0.25">
      <c r="O88" s="187"/>
      <c r="P88" s="200" t="s">
        <v>337</v>
      </c>
      <c r="Q88" s="214">
        <f>IF(MPPT="Yes",G21*Q70*R48,G21*Q69*R48)</f>
        <v>345.27385417617921</v>
      </c>
      <c r="R88" s="187"/>
      <c r="S88" s="200" t="s">
        <v>339</v>
      </c>
      <c r="T88" s="187"/>
    </row>
    <row r="89" spans="15:24" ht="13.5" thickBot="1" x14ac:dyDescent="0.25">
      <c r="O89" s="187"/>
      <c r="P89" s="200" t="s">
        <v>336</v>
      </c>
      <c r="Q89" s="215">
        <f ca="1">Pwr.Day</f>
        <v>332.65614321596388</v>
      </c>
      <c r="R89" s="196"/>
      <c r="S89" s="198" t="s">
        <v>339</v>
      </c>
      <c r="T89" s="187"/>
    </row>
    <row r="90" spans="15:24" x14ac:dyDescent="0.2">
      <c r="O90" s="187"/>
      <c r="T90" s="187"/>
    </row>
    <row r="95" spans="15:24" x14ac:dyDescent="0.2">
      <c r="Q95" s="218"/>
      <c r="R95" s="218"/>
      <c r="S95" s="218"/>
      <c r="T95" s="218"/>
      <c r="U95" s="218"/>
      <c r="V95" s="218"/>
      <c r="W95" s="218"/>
      <c r="X95" s="218"/>
    </row>
    <row r="96" spans="15:24" x14ac:dyDescent="0.2">
      <c r="Q96" s="218"/>
      <c r="R96" s="218"/>
      <c r="S96" s="218"/>
      <c r="T96" s="218"/>
      <c r="U96" s="218"/>
      <c r="V96" s="218"/>
      <c r="W96" s="218"/>
      <c r="X96" s="218"/>
    </row>
    <row r="97" spans="17:24" x14ac:dyDescent="0.2">
      <c r="Q97" s="218"/>
      <c r="R97" s="218"/>
      <c r="S97" s="218"/>
      <c r="T97" s="218"/>
      <c r="U97" s="218"/>
      <c r="V97" s="218"/>
      <c r="W97" s="218"/>
      <c r="X97" s="218"/>
    </row>
    <row r="98" spans="17:24" x14ac:dyDescent="0.2">
      <c r="Q98" s="218"/>
      <c r="R98" s="218"/>
      <c r="S98" s="218"/>
      <c r="T98" s="218"/>
      <c r="U98" s="218"/>
      <c r="V98" s="218"/>
      <c r="W98" s="218"/>
      <c r="X98" s="218"/>
    </row>
    <row r="99" spans="17:24" x14ac:dyDescent="0.2">
      <c r="Q99" s="240"/>
      <c r="R99" s="218"/>
      <c r="S99" s="218"/>
      <c r="T99" s="218"/>
      <c r="U99" s="218"/>
      <c r="V99" s="218"/>
      <c r="W99" s="218"/>
      <c r="X99" s="218"/>
    </row>
    <row r="100" spans="17:24" x14ac:dyDescent="0.2">
      <c r="Q100" s="218"/>
      <c r="R100" s="218"/>
      <c r="S100" s="218"/>
      <c r="T100" s="218"/>
      <c r="U100" s="218"/>
      <c r="V100" s="218"/>
      <c r="W100" s="218"/>
      <c r="X100" s="218"/>
    </row>
    <row r="101" spans="17:24" x14ac:dyDescent="0.2">
      <c r="Q101" s="218"/>
      <c r="R101" s="218"/>
      <c r="S101" s="218"/>
      <c r="T101" s="218"/>
      <c r="U101" s="218"/>
      <c r="V101" s="218"/>
      <c r="W101" s="218"/>
      <c r="X101" s="218"/>
    </row>
    <row r="102" spans="17:24" x14ac:dyDescent="0.2">
      <c r="Q102" s="218"/>
      <c r="R102" s="218"/>
      <c r="S102" s="218"/>
      <c r="T102" s="218"/>
      <c r="U102" s="218"/>
      <c r="V102" s="218"/>
      <c r="W102" s="218"/>
      <c r="X102" s="218"/>
    </row>
    <row r="103" spans="17:24" x14ac:dyDescent="0.2">
      <c r="Q103" s="218"/>
      <c r="R103" s="218"/>
      <c r="S103" s="218"/>
      <c r="T103" s="218"/>
      <c r="U103" s="218"/>
      <c r="V103" s="218"/>
      <c r="W103" s="218"/>
      <c r="X103" s="218"/>
    </row>
    <row r="104" spans="17:24" x14ac:dyDescent="0.2">
      <c r="Q104" s="218"/>
      <c r="R104" s="218"/>
      <c r="S104" s="218"/>
      <c r="T104" s="218"/>
      <c r="U104" s="218"/>
      <c r="V104" s="218"/>
      <c r="W104" s="218"/>
      <c r="X104" s="218"/>
    </row>
  </sheetData>
  <sheetProtection algorithmName="SHA-512" hashValue="FB9wxJJSUW2iZR7qhPXBZq8seCBKAJIJq/K8uYZVXVG3p9KEnsReV9FtI6AWbR52JRZAHAV70Poa+ockTxQneA==" saltValue="ijxFZIPTI6m6wIoZ8zkxPQ==" spinCount="100000" sheet="1" selectLockedCells="1"/>
  <mergeCells count="10">
    <mergeCell ref="F31:F35"/>
    <mergeCell ref="G12:I12"/>
    <mergeCell ref="G31:I31"/>
    <mergeCell ref="G32:I32"/>
    <mergeCell ref="G38:H38"/>
    <mergeCell ref="G33:I33"/>
    <mergeCell ref="G35:I35"/>
    <mergeCell ref="H11:I11"/>
    <mergeCell ref="G9:I9"/>
    <mergeCell ref="H10:I10"/>
  </mergeCells>
  <phoneticPr fontId="11" type="noConversion"/>
  <dataValidations count="14">
    <dataValidation type="list" allowBlank="1" showInputMessage="1" showErrorMessage="1" sqref="G12:I12" xr:uid="{00000000-0002-0000-0000-000001000000}">
      <formula1>datalist</formula1>
    </dataValidation>
    <dataValidation type="whole" operator="greaterThanOrEqual" allowBlank="1" showInputMessage="1" showErrorMessage="1" sqref="G19:G20" xr:uid="{00000000-0002-0000-0000-000003000000}">
      <formula1>3</formula1>
    </dataValidation>
    <dataValidation type="list" allowBlank="1" showInputMessage="1" showErrorMessage="1" sqref="G17" xr:uid="{00000000-0002-0000-0000-000005000000}">
      <formula1>"50,100,140,250"</formula1>
    </dataValidation>
    <dataValidation type="list" allowBlank="1" showInputMessage="1" showErrorMessage="1" promptTitle="Multipoint" prompt="For Single point injection select 0 for Multipoints." sqref="G13" xr:uid="{00000000-0002-0000-0000-000007000000}">
      <formula1>"0,2,3,4,5,6,7,8,9,10,11,12,13,14,15"</formula1>
    </dataValidation>
    <dataValidation type="whole" allowBlank="1" showInputMessage="1" showErrorMessage="1" sqref="P15" xr:uid="{00000000-0002-0000-0000-000008000000}">
      <formula1>1</formula1>
      <formula2>5000</formula2>
    </dataValidation>
    <dataValidation type="list" allowBlank="1" showInputMessage="1" showErrorMessage="1" sqref="H11" xr:uid="{00000000-0002-0000-0000-000004000000}">
      <formula1>$Q$34:$Q$36</formula1>
    </dataValidation>
    <dataValidation type="list" allowBlank="1" showInputMessage="1" showErrorMessage="1" sqref="G14:G15" xr:uid="{00000000-0002-0000-0000-000006000000}">
      <formula1>$S$33:$S$34</formula1>
    </dataValidation>
    <dataValidation type="list" allowBlank="1" showInputMessage="1" showErrorMessage="1" sqref="H10" xr:uid="{28DCB159-258F-4C90-AF80-2F2828522678}">
      <formula1>"PSI,kPa"</formula1>
    </dataValidation>
    <dataValidation type="list" allowBlank="1" showInputMessage="1" showErrorMessage="1" promptTitle="Panel Nominal Voltage" prompt="A 12V nominial voltage panel is labeled at approx 18 -19 Volts operating for charging a 12V battery bank._x000a_A 24V nominal voltage panel is labeled at 36-40 Volts operating for charging a 24V battery bank." sqref="G22" xr:uid="{94C7EF80-4048-4439-A45C-DEF8907C3EEF}">
      <formula1>"12,24"</formula1>
    </dataValidation>
    <dataValidation type="list" allowBlank="1" showErrorMessage="1" prompt="Select Panel Size" sqref="G21:G22" xr:uid="{00000000-0002-0000-0000-000000000000}">
      <formula1>"20,30,40,50,55,80,85,90,95,100,110,120,140,145,150,155,160,165,220,230,240,250,260,275,310"</formula1>
    </dataValidation>
    <dataValidation allowBlank="1" showErrorMessage="1" prompt="Select Panel Size" sqref="G24" xr:uid="{E0AC1DF0-B688-4352-A906-4E8CDC7D52F5}"/>
    <dataValidation allowBlank="1" showInputMessage="1" showErrorMessage="1" promptTitle="Pressure losses" prompt="40 psi check valve cracking pressure assumed._x000a_This makes the actual pressure at the pump 40 psi higher than the target Design Pressure.  If more checks or long lines are used, some additional pressure margin may be required." sqref="G10" xr:uid="{7BFDCE0A-FF01-4925-8FDD-494D0D079B7C}"/>
    <dataValidation type="list" allowBlank="1" showInputMessage="1" showErrorMessage="1" promptTitle="MPPT" prompt="A Sirius Maximum Power Point Tracking Charge controller is 20 to  40 percent more efficient in energy harvest over PWM style Sunsaver Charge controllers.  The greatest advantage is in cold weather where panel voltages rise." sqref="G16" xr:uid="{8EF3ADF4-CFB0-4089-8739-194F55B597C8}">
      <formula1>$S$33:$S$34</formula1>
    </dataValidation>
    <dataValidation type="list" allowBlank="1" showInputMessage="1" showErrorMessage="1" sqref="G18:G22" xr:uid="{00000000-0002-0000-0000-000002000000}">
      <formula1>$V$31:$V$35</formula1>
    </dataValidation>
  </dataValidations>
  <pageMargins left="0.75" right="0.75" top="1" bottom="1" header="0.5" footer="0.5"/>
  <pageSetup orientation="portrait" r:id="rId1"/>
  <headerFooter alignWithMargins="0">
    <oddHeader>&amp;CSirius Injection System
Flow-Spec Sizing Program</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9000000}">
          <x14:formula1>
            <xm:f>SOLAR_DATA!$D$10:$D$58</xm:f>
          </x14:formula1>
          <xm:sqref>G9</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89227-DC83-407B-9E7B-8D35D35D38C7}">
  <sheetPr>
    <tabColor rgb="FF5B9BD5"/>
  </sheetPr>
  <dimension ref="A1:AA97"/>
  <sheetViews>
    <sheetView workbookViewId="0">
      <selection activeCell="E11" sqref="E11"/>
    </sheetView>
  </sheetViews>
  <sheetFormatPr defaultColWidth="9.140625" defaultRowHeight="15" x14ac:dyDescent="0.25"/>
  <cols>
    <col min="1" max="1" width="14.7109375" style="123" customWidth="1"/>
    <col min="2" max="2" width="11.28515625" style="124" customWidth="1"/>
    <col min="3" max="3" width="12.42578125" style="123" customWidth="1"/>
    <col min="4" max="4" width="19.140625" style="123" customWidth="1"/>
    <col min="5" max="5" width="13.7109375" style="123" customWidth="1"/>
    <col min="6" max="6" width="14.85546875" style="123" customWidth="1"/>
    <col min="7" max="7" width="13.140625" style="123" customWidth="1"/>
    <col min="8" max="8" width="9.140625" style="123"/>
    <col min="9" max="9" width="12.140625" style="123" customWidth="1"/>
    <col min="10" max="10" width="10.5703125" style="123" customWidth="1"/>
    <col min="11" max="11" width="12" style="123" customWidth="1"/>
    <col min="12" max="12" width="9.140625" style="123" customWidth="1"/>
    <col min="13" max="13" width="9.140625" style="125"/>
    <col min="14" max="16384" width="9.140625" style="123"/>
  </cols>
  <sheetData>
    <row r="1" spans="1:27" x14ac:dyDescent="0.25">
      <c r="B1" s="126" t="s">
        <v>195</v>
      </c>
      <c r="C1" s="127">
        <v>44319</v>
      </c>
      <c r="D1" s="128" t="s">
        <v>196</v>
      </c>
      <c r="E1" s="128"/>
      <c r="F1" s="128"/>
    </row>
    <row r="2" spans="1:27" ht="21" x14ac:dyDescent="0.35">
      <c r="A2" s="45" t="s">
        <v>245</v>
      </c>
      <c r="B2" s="46"/>
      <c r="C2" s="45"/>
      <c r="D2" s="45"/>
      <c r="E2" s="45"/>
      <c r="F2" s="45"/>
      <c r="G2" s="45"/>
      <c r="H2" s="45"/>
      <c r="I2" s="45"/>
      <c r="J2" s="45"/>
      <c r="K2" s="45"/>
      <c r="L2" s="45"/>
      <c r="M2" s="123"/>
      <c r="P2" s="47" t="s">
        <v>198</v>
      </c>
      <c r="Q2" s="49" t="s">
        <v>199</v>
      </c>
    </row>
    <row r="3" spans="1:27" x14ac:dyDescent="0.25">
      <c r="A3" s="47" t="s">
        <v>200</v>
      </c>
      <c r="B3" s="150"/>
      <c r="C3" s="47" t="s">
        <v>250</v>
      </c>
      <c r="D3" s="47"/>
      <c r="E3" s="47"/>
      <c r="F3" s="47"/>
      <c r="G3" s="129"/>
      <c r="H3" s="43"/>
      <c r="I3" s="49"/>
      <c r="J3" s="40"/>
      <c r="K3" s="49"/>
      <c r="L3" s="49"/>
      <c r="M3" s="40"/>
      <c r="N3" s="40"/>
      <c r="P3" s="47">
        <v>20</v>
      </c>
      <c r="Q3" s="49">
        <v>0</v>
      </c>
    </row>
    <row r="4" spans="1:27" x14ac:dyDescent="0.25">
      <c r="A4" s="150" t="s">
        <v>204</v>
      </c>
      <c r="B4" s="150"/>
      <c r="C4" s="150">
        <v>0.3125</v>
      </c>
      <c r="D4" s="150"/>
      <c r="E4" s="150"/>
      <c r="F4" s="150"/>
      <c r="G4" s="51" t="s">
        <v>205</v>
      </c>
      <c r="H4" s="222" t="s">
        <v>355</v>
      </c>
      <c r="I4" s="223"/>
      <c r="J4" s="224" t="s">
        <v>18</v>
      </c>
      <c r="K4" s="225"/>
      <c r="L4" s="224"/>
      <c r="M4" s="226"/>
      <c r="N4" s="223"/>
      <c r="O4" s="47"/>
      <c r="P4" s="47">
        <f>(P$8-P$3)/5+P3</f>
        <v>136</v>
      </c>
      <c r="Q4" s="49">
        <v>500</v>
      </c>
    </row>
    <row r="5" spans="1:27" x14ac:dyDescent="0.25">
      <c r="A5" s="150" t="s">
        <v>206</v>
      </c>
      <c r="B5" s="150"/>
      <c r="C5" s="150" t="s">
        <v>247</v>
      </c>
      <c r="D5" s="150"/>
      <c r="E5" s="150"/>
      <c r="F5" s="150"/>
      <c r="G5" s="52" t="s">
        <v>207</v>
      </c>
      <c r="H5" s="227">
        <v>73.5</v>
      </c>
      <c r="I5" s="225"/>
      <c r="J5" s="223">
        <f>H5/1000*25</f>
        <v>1.8374999999999999</v>
      </c>
      <c r="K5" s="228" t="s">
        <v>357</v>
      </c>
      <c r="L5" s="223"/>
      <c r="M5" s="226"/>
      <c r="N5" s="223"/>
      <c r="O5" s="47"/>
      <c r="P5" s="47">
        <f>(P$8-P$3)/5+P4</f>
        <v>252</v>
      </c>
      <c r="Q5" s="49">
        <v>1000</v>
      </c>
    </row>
    <row r="6" spans="1:27" x14ac:dyDescent="0.25">
      <c r="A6" s="150" t="s">
        <v>208</v>
      </c>
      <c r="B6" s="150"/>
      <c r="C6" s="150">
        <f>0.15-0.014</f>
        <v>0.13599999999999998</v>
      </c>
      <c r="D6" s="150"/>
      <c r="E6" s="150"/>
      <c r="F6" s="150"/>
      <c r="G6" s="51" t="s">
        <v>209</v>
      </c>
      <c r="H6" s="227">
        <v>64.3</v>
      </c>
      <c r="I6" s="225"/>
      <c r="J6" s="223">
        <f>H6/1000*25</f>
        <v>1.6074999999999999</v>
      </c>
      <c r="K6" s="228" t="s">
        <v>357</v>
      </c>
      <c r="L6" s="223"/>
      <c r="M6" s="226"/>
      <c r="N6" s="223"/>
      <c r="O6" s="47"/>
      <c r="P6" s="47">
        <f>(P$8-P$3)/5+P5</f>
        <v>368</v>
      </c>
      <c r="Q6" s="49">
        <v>3000</v>
      </c>
    </row>
    <row r="7" spans="1:27" x14ac:dyDescent="0.25">
      <c r="A7" s="53" t="s">
        <v>210</v>
      </c>
      <c r="B7" s="150"/>
      <c r="C7" s="150" t="s">
        <v>248</v>
      </c>
      <c r="D7" s="150"/>
      <c r="E7" s="150"/>
      <c r="F7" s="150"/>
      <c r="H7" s="223"/>
      <c r="I7" s="223" t="s">
        <v>212</v>
      </c>
      <c r="J7" s="224">
        <f>J5-J6</f>
        <v>0.22999999999999998</v>
      </c>
      <c r="K7" s="224" t="s">
        <v>18</v>
      </c>
      <c r="L7" s="228" t="s">
        <v>356</v>
      </c>
      <c r="M7" s="226"/>
      <c r="N7" s="223"/>
      <c r="O7" s="47"/>
      <c r="P7" s="47">
        <f>(P$8-P$3)/5+P6</f>
        <v>484</v>
      </c>
      <c r="Q7" s="49">
        <v>4000</v>
      </c>
    </row>
    <row r="8" spans="1:27" ht="15.75" thickBot="1" x14ac:dyDescent="0.3">
      <c r="A8" s="53" t="s">
        <v>213</v>
      </c>
      <c r="B8" s="53"/>
      <c r="C8" s="53" t="s">
        <v>249</v>
      </c>
      <c r="D8" s="53"/>
      <c r="E8" s="53"/>
      <c r="F8" s="53"/>
      <c r="G8" s="123" t="s">
        <v>215</v>
      </c>
      <c r="J8" s="50"/>
      <c r="K8" s="50"/>
      <c r="L8" s="50"/>
      <c r="O8" s="54"/>
      <c r="P8" s="54">
        <v>600</v>
      </c>
      <c r="Q8" s="49">
        <v>5000</v>
      </c>
    </row>
    <row r="9" spans="1:27" x14ac:dyDescent="0.25">
      <c r="A9" s="47" t="s">
        <v>176</v>
      </c>
      <c r="C9" s="285" t="s">
        <v>216</v>
      </c>
      <c r="D9" s="286"/>
      <c r="E9" s="287"/>
      <c r="F9" s="288" t="s">
        <v>217</v>
      </c>
      <c r="G9" s="288"/>
      <c r="H9" s="288"/>
      <c r="I9" s="55"/>
      <c r="J9" s="56" t="s">
        <v>218</v>
      </c>
      <c r="K9" s="57" t="s">
        <v>219</v>
      </c>
      <c r="L9" s="289"/>
      <c r="M9" s="291"/>
      <c r="N9" s="291"/>
      <c r="O9" s="130"/>
      <c r="P9" s="131"/>
      <c r="Z9" s="123">
        <v>10</v>
      </c>
      <c r="AA9" s="123">
        <f>Z9/400*600</f>
        <v>15</v>
      </c>
    </row>
    <row r="10" spans="1:27" ht="15.75" thickBot="1" x14ac:dyDescent="0.3">
      <c r="A10" s="150" t="s">
        <v>220</v>
      </c>
      <c r="B10" s="150" t="s">
        <v>17</v>
      </c>
      <c r="C10" s="53" t="s">
        <v>202</v>
      </c>
      <c r="D10" s="50" t="s">
        <v>221</v>
      </c>
      <c r="E10" s="61" t="s">
        <v>18</v>
      </c>
      <c r="F10" s="62" t="s">
        <v>222</v>
      </c>
      <c r="G10" s="53" t="s">
        <v>223</v>
      </c>
      <c r="H10" s="53" t="s">
        <v>224</v>
      </c>
      <c r="I10" s="64" t="s">
        <v>225</v>
      </c>
      <c r="J10" s="60" t="s">
        <v>18</v>
      </c>
      <c r="K10" s="63" t="s">
        <v>226</v>
      </c>
      <c r="L10" s="63"/>
      <c r="M10" s="65" t="s">
        <v>227</v>
      </c>
      <c r="N10" s="66"/>
      <c r="O10" s="132"/>
      <c r="P10" s="68"/>
      <c r="Q10" s="69"/>
      <c r="R10" s="70"/>
      <c r="S10" s="70"/>
      <c r="Z10" s="123">
        <v>50</v>
      </c>
      <c r="AA10" s="123">
        <f>Z10/400*600</f>
        <v>75</v>
      </c>
    </row>
    <row r="11" spans="1:27" x14ac:dyDescent="0.25">
      <c r="A11" s="74">
        <f t="shared" ref="A11:A16" si="0">Q3</f>
        <v>0</v>
      </c>
      <c r="B11" s="150">
        <f t="shared" ref="B11:B16" si="1">P$3</f>
        <v>20</v>
      </c>
      <c r="C11" s="128">
        <v>156</v>
      </c>
      <c r="D11" s="139">
        <v>3</v>
      </c>
      <c r="E11" s="133">
        <f t="shared" ref="E11:E16" si="2">60/D11*C11/1000</f>
        <v>3.12</v>
      </c>
      <c r="F11" s="134">
        <f t="shared" ref="F11:F16" si="3">E11-$J$7</f>
        <v>2.89</v>
      </c>
      <c r="G11" s="24">
        <v>180</v>
      </c>
      <c r="H11" s="24">
        <v>30</v>
      </c>
      <c r="I11" s="135">
        <f t="shared" ref="I11:I16" si="4">60*H11/G11</f>
        <v>10</v>
      </c>
      <c r="J11" s="101">
        <f t="shared" ref="J11:J16" si="5">I11/100*A11/100*0.8</f>
        <v>0</v>
      </c>
      <c r="K11" s="136">
        <f t="shared" ref="K11:K16" si="6">J11/E11</f>
        <v>0</v>
      </c>
      <c r="L11" s="126"/>
      <c r="M11" s="137"/>
      <c r="N11" s="138"/>
      <c r="O11" s="128"/>
      <c r="P11" s="128"/>
      <c r="Q11" s="69"/>
      <c r="R11" s="70"/>
      <c r="S11" s="70"/>
    </row>
    <row r="12" spans="1:27" x14ac:dyDescent="0.25">
      <c r="A12" s="74">
        <f t="shared" si="0"/>
        <v>500</v>
      </c>
      <c r="B12" s="150">
        <f t="shared" si="1"/>
        <v>20</v>
      </c>
      <c r="C12" s="128">
        <v>204</v>
      </c>
      <c r="D12" s="139">
        <v>3</v>
      </c>
      <c r="E12" s="133">
        <f t="shared" si="2"/>
        <v>4.08</v>
      </c>
      <c r="F12" s="134">
        <f t="shared" si="3"/>
        <v>3.85</v>
      </c>
      <c r="G12" s="24">
        <v>180</v>
      </c>
      <c r="H12" s="24">
        <v>29.5</v>
      </c>
      <c r="I12" s="135">
        <f t="shared" si="4"/>
        <v>9.8333333333333339</v>
      </c>
      <c r="J12" s="101">
        <f t="shared" si="5"/>
        <v>0.39333333333333337</v>
      </c>
      <c r="K12" s="136">
        <f t="shared" si="6"/>
        <v>9.6405228758169939E-2</v>
      </c>
      <c r="L12" s="126"/>
      <c r="M12" s="137">
        <f>I12/$I$12</f>
        <v>1</v>
      </c>
      <c r="N12" s="138"/>
      <c r="O12" s="128"/>
      <c r="P12" s="128"/>
      <c r="Z12" s="123">
        <v>100</v>
      </c>
      <c r="AA12" s="123">
        <f>Z12/400*600</f>
        <v>150</v>
      </c>
    </row>
    <row r="13" spans="1:27" x14ac:dyDescent="0.25">
      <c r="A13" s="74">
        <f t="shared" si="0"/>
        <v>1000</v>
      </c>
      <c r="B13" s="150">
        <f t="shared" si="1"/>
        <v>20</v>
      </c>
      <c r="C13" s="128">
        <v>240</v>
      </c>
      <c r="D13" s="139">
        <v>3</v>
      </c>
      <c r="E13" s="133">
        <f t="shared" si="2"/>
        <v>4.8</v>
      </c>
      <c r="F13" s="134">
        <f t="shared" si="3"/>
        <v>4.57</v>
      </c>
      <c r="G13" s="24">
        <v>180</v>
      </c>
      <c r="H13" s="24">
        <v>28.5</v>
      </c>
      <c r="I13" s="135">
        <f t="shared" si="4"/>
        <v>9.5</v>
      </c>
      <c r="J13" s="101">
        <f t="shared" si="5"/>
        <v>0.76</v>
      </c>
      <c r="K13" s="136">
        <f t="shared" si="6"/>
        <v>0.15833333333333335</v>
      </c>
      <c r="L13" s="126"/>
      <c r="M13" s="137">
        <f>I13/$I$12</f>
        <v>0.96610169491525422</v>
      </c>
      <c r="N13" s="138"/>
      <c r="O13" s="128"/>
      <c r="P13" s="128"/>
      <c r="Z13" s="123">
        <v>200</v>
      </c>
      <c r="AA13" s="123">
        <f>Z13/400*600</f>
        <v>300</v>
      </c>
    </row>
    <row r="14" spans="1:27" x14ac:dyDescent="0.25">
      <c r="A14" s="74">
        <f t="shared" si="0"/>
        <v>3000</v>
      </c>
      <c r="B14" s="150">
        <f t="shared" si="1"/>
        <v>20</v>
      </c>
      <c r="C14" s="128">
        <v>612</v>
      </c>
      <c r="D14" s="139">
        <v>3</v>
      </c>
      <c r="E14" s="133">
        <f t="shared" si="2"/>
        <v>12.24</v>
      </c>
      <c r="F14" s="134">
        <f t="shared" si="3"/>
        <v>12.01</v>
      </c>
      <c r="G14" s="24">
        <v>180</v>
      </c>
      <c r="H14" s="24">
        <v>27</v>
      </c>
      <c r="I14" s="135">
        <f t="shared" si="4"/>
        <v>9</v>
      </c>
      <c r="J14" s="101">
        <f t="shared" si="5"/>
        <v>2.16</v>
      </c>
      <c r="K14" s="136">
        <f t="shared" si="6"/>
        <v>0.17647058823529413</v>
      </c>
      <c r="L14" s="126"/>
      <c r="M14" s="137">
        <f>I14/$I$12</f>
        <v>0.91525423728813549</v>
      </c>
      <c r="N14" s="138"/>
      <c r="O14" s="128"/>
      <c r="P14" s="128"/>
      <c r="Z14" s="123">
        <v>300</v>
      </c>
      <c r="AA14" s="123">
        <f>Z14/400*600</f>
        <v>450</v>
      </c>
    </row>
    <row r="15" spans="1:27" x14ac:dyDescent="0.25">
      <c r="A15" s="74">
        <f t="shared" si="0"/>
        <v>4000</v>
      </c>
      <c r="B15" s="150">
        <f t="shared" si="1"/>
        <v>20</v>
      </c>
      <c r="C15" s="128">
        <v>888</v>
      </c>
      <c r="D15" s="139">
        <v>3</v>
      </c>
      <c r="E15" s="133">
        <f t="shared" si="2"/>
        <v>17.760000000000002</v>
      </c>
      <c r="F15" s="134">
        <f t="shared" si="3"/>
        <v>17.53</v>
      </c>
      <c r="G15" s="24">
        <v>180</v>
      </c>
      <c r="H15" s="24">
        <v>25.5</v>
      </c>
      <c r="I15" s="135">
        <f t="shared" si="4"/>
        <v>8.5</v>
      </c>
      <c r="J15" s="101">
        <f t="shared" si="5"/>
        <v>2.72</v>
      </c>
      <c r="K15" s="136">
        <f t="shared" si="6"/>
        <v>0.15315315315315314</v>
      </c>
      <c r="L15" s="126"/>
      <c r="M15" s="137">
        <f>I15/$I$12</f>
        <v>0.86440677966101687</v>
      </c>
      <c r="N15" s="138"/>
      <c r="O15" s="128"/>
      <c r="P15" s="128"/>
      <c r="Z15" s="123">
        <v>400</v>
      </c>
      <c r="AA15" s="123">
        <f>Z15/400*600</f>
        <v>600</v>
      </c>
    </row>
    <row r="16" spans="1:27" x14ac:dyDescent="0.25">
      <c r="A16" s="74">
        <f t="shared" si="0"/>
        <v>5000</v>
      </c>
      <c r="B16" s="150">
        <f t="shared" si="1"/>
        <v>20</v>
      </c>
      <c r="C16" s="128">
        <v>1188</v>
      </c>
      <c r="D16" s="139">
        <v>3</v>
      </c>
      <c r="E16" s="133">
        <f t="shared" si="2"/>
        <v>23.76</v>
      </c>
      <c r="F16" s="134">
        <f t="shared" si="3"/>
        <v>23.53</v>
      </c>
      <c r="G16" s="24">
        <v>180</v>
      </c>
      <c r="H16" s="24">
        <v>24</v>
      </c>
      <c r="I16" s="135">
        <f t="shared" si="4"/>
        <v>8</v>
      </c>
      <c r="J16" s="101">
        <f t="shared" si="5"/>
        <v>3.2</v>
      </c>
      <c r="K16" s="136">
        <f t="shared" si="6"/>
        <v>0.13468013468013468</v>
      </c>
      <c r="L16" s="126"/>
      <c r="M16" s="137">
        <f>I16/$I$12</f>
        <v>0.81355932203389825</v>
      </c>
      <c r="N16" s="138"/>
      <c r="O16" s="128"/>
      <c r="P16" s="128"/>
    </row>
    <row r="17" spans="1:27" x14ac:dyDescent="0.25">
      <c r="A17" s="74"/>
      <c r="B17" s="74"/>
      <c r="C17" s="128"/>
      <c r="D17" s="128"/>
      <c r="E17" s="133"/>
      <c r="F17" s="134"/>
      <c r="G17" s="24"/>
      <c r="H17" s="24"/>
      <c r="I17" s="135"/>
      <c r="J17" s="101"/>
      <c r="K17" s="126"/>
      <c r="L17" s="126"/>
      <c r="M17" s="137"/>
      <c r="N17" s="138"/>
      <c r="O17" s="128"/>
      <c r="P17" s="128"/>
    </row>
    <row r="18" spans="1:27" x14ac:dyDescent="0.25">
      <c r="A18" s="74">
        <f t="shared" ref="A18:A23" si="7">Q3</f>
        <v>0</v>
      </c>
      <c r="B18" s="74">
        <f t="shared" ref="B18:B23" si="8">P$4</f>
        <v>136</v>
      </c>
      <c r="C18" s="128">
        <v>168</v>
      </c>
      <c r="D18" s="139">
        <f>60/60</f>
        <v>1</v>
      </c>
      <c r="E18" s="133">
        <f t="shared" ref="E18:E23" si="9">60/D18*C18/1000</f>
        <v>10.08</v>
      </c>
      <c r="F18" s="134">
        <f t="shared" ref="F18:F23" si="10">E18-$J$7</f>
        <v>9.85</v>
      </c>
      <c r="G18" s="24">
        <v>60</v>
      </c>
      <c r="H18" s="24">
        <v>65</v>
      </c>
      <c r="I18" s="135">
        <f t="shared" ref="I18:I23" si="11">60*H18/G18</f>
        <v>65</v>
      </c>
      <c r="J18" s="101">
        <f t="shared" ref="J18:J23" si="12">I18/100*A18/100*0.8</f>
        <v>0</v>
      </c>
      <c r="K18" s="136">
        <f t="shared" ref="K18:K23" si="13">J18/E18</f>
        <v>0</v>
      </c>
      <c r="L18" s="126"/>
      <c r="M18" s="137"/>
      <c r="N18" s="138"/>
      <c r="O18" s="128"/>
      <c r="P18" s="128"/>
      <c r="Q18" s="69"/>
      <c r="R18" s="70"/>
      <c r="S18" s="70"/>
    </row>
    <row r="19" spans="1:27" x14ac:dyDescent="0.25">
      <c r="A19" s="74">
        <f t="shared" si="7"/>
        <v>500</v>
      </c>
      <c r="B19" s="74">
        <f t="shared" si="8"/>
        <v>136</v>
      </c>
      <c r="C19" s="128">
        <v>232</v>
      </c>
      <c r="D19" s="139">
        <f t="shared" ref="D19:D23" si="14">60/60</f>
        <v>1</v>
      </c>
      <c r="E19" s="133">
        <f t="shared" si="9"/>
        <v>13.92</v>
      </c>
      <c r="F19" s="134">
        <f t="shared" si="10"/>
        <v>13.69</v>
      </c>
      <c r="G19" s="24">
        <v>60</v>
      </c>
      <c r="H19" s="24">
        <v>65</v>
      </c>
      <c r="I19" s="135">
        <f t="shared" si="11"/>
        <v>65</v>
      </c>
      <c r="J19" s="101">
        <f t="shared" si="12"/>
        <v>2.6</v>
      </c>
      <c r="K19" s="136">
        <f t="shared" si="13"/>
        <v>0.18678160919540229</v>
      </c>
      <c r="L19" s="126"/>
      <c r="M19" s="137">
        <f t="shared" ref="M19:M24" si="15">I19/$I$19</f>
        <v>1</v>
      </c>
      <c r="N19" s="138"/>
      <c r="O19" s="128"/>
      <c r="P19" s="128"/>
      <c r="Z19" s="123">
        <v>100</v>
      </c>
      <c r="AA19" s="123">
        <f>Z19/400*600</f>
        <v>150</v>
      </c>
    </row>
    <row r="20" spans="1:27" x14ac:dyDescent="0.25">
      <c r="A20" s="74">
        <f t="shared" si="7"/>
        <v>1000</v>
      </c>
      <c r="B20" s="74">
        <f t="shared" si="8"/>
        <v>136</v>
      </c>
      <c r="C20" s="128">
        <v>292</v>
      </c>
      <c r="D20" s="139">
        <f t="shared" si="14"/>
        <v>1</v>
      </c>
      <c r="E20" s="133">
        <f t="shared" si="9"/>
        <v>17.52</v>
      </c>
      <c r="F20" s="134">
        <f t="shared" si="10"/>
        <v>17.29</v>
      </c>
      <c r="G20" s="24">
        <v>60</v>
      </c>
      <c r="H20" s="24">
        <v>65</v>
      </c>
      <c r="I20" s="135">
        <f t="shared" si="11"/>
        <v>65</v>
      </c>
      <c r="J20" s="101">
        <f t="shared" si="12"/>
        <v>5.2</v>
      </c>
      <c r="K20" s="136">
        <f t="shared" si="13"/>
        <v>0.29680365296803657</v>
      </c>
      <c r="L20" s="126"/>
      <c r="M20" s="137">
        <f t="shared" si="15"/>
        <v>1</v>
      </c>
      <c r="N20" s="138"/>
      <c r="O20" s="128"/>
      <c r="P20" s="128"/>
      <c r="Z20" s="123">
        <v>200</v>
      </c>
      <c r="AA20" s="123">
        <f>Z20/400*600</f>
        <v>300</v>
      </c>
    </row>
    <row r="21" spans="1:27" x14ac:dyDescent="0.25">
      <c r="A21" s="74">
        <f t="shared" si="7"/>
        <v>3000</v>
      </c>
      <c r="B21" s="74">
        <f t="shared" si="8"/>
        <v>136</v>
      </c>
      <c r="C21" s="128">
        <v>512</v>
      </c>
      <c r="D21" s="139">
        <f t="shared" si="14"/>
        <v>1</v>
      </c>
      <c r="E21" s="133">
        <f t="shared" si="9"/>
        <v>30.72</v>
      </c>
      <c r="F21" s="134">
        <f t="shared" si="10"/>
        <v>30.49</v>
      </c>
      <c r="G21" s="24">
        <v>60</v>
      </c>
      <c r="H21" s="24">
        <v>60</v>
      </c>
      <c r="I21" s="135">
        <f t="shared" si="11"/>
        <v>60</v>
      </c>
      <c r="J21" s="101">
        <f t="shared" si="12"/>
        <v>14.4</v>
      </c>
      <c r="K21" s="136">
        <f t="shared" si="13"/>
        <v>0.46875000000000006</v>
      </c>
      <c r="L21" s="126"/>
      <c r="M21" s="137">
        <f t="shared" si="15"/>
        <v>0.92307692307692313</v>
      </c>
      <c r="N21" s="138"/>
      <c r="O21" s="128"/>
      <c r="P21" s="128"/>
      <c r="Z21" s="123">
        <v>300</v>
      </c>
      <c r="AA21" s="123">
        <f>Z21/400*600</f>
        <v>450</v>
      </c>
    </row>
    <row r="22" spans="1:27" x14ac:dyDescent="0.25">
      <c r="A22" s="74">
        <f t="shared" si="7"/>
        <v>4000</v>
      </c>
      <c r="B22" s="74">
        <f t="shared" si="8"/>
        <v>136</v>
      </c>
      <c r="C22" s="128">
        <v>660</v>
      </c>
      <c r="D22" s="139">
        <f t="shared" si="14"/>
        <v>1</v>
      </c>
      <c r="E22" s="133">
        <f t="shared" si="9"/>
        <v>39.6</v>
      </c>
      <c r="F22" s="134">
        <f t="shared" si="10"/>
        <v>39.370000000000005</v>
      </c>
      <c r="G22" s="24">
        <v>60</v>
      </c>
      <c r="H22" s="24">
        <v>55</v>
      </c>
      <c r="I22" s="135">
        <f t="shared" si="11"/>
        <v>55</v>
      </c>
      <c r="J22" s="101">
        <f t="shared" si="12"/>
        <v>17.600000000000001</v>
      </c>
      <c r="K22" s="136">
        <f t="shared" si="13"/>
        <v>0.44444444444444448</v>
      </c>
      <c r="L22" s="126"/>
      <c r="M22" s="137">
        <f t="shared" si="15"/>
        <v>0.84615384615384615</v>
      </c>
      <c r="N22" s="138"/>
      <c r="O22" s="128"/>
      <c r="P22" s="128"/>
      <c r="Z22" s="123">
        <v>400</v>
      </c>
      <c r="AA22" s="123">
        <f>Z22/400*600</f>
        <v>600</v>
      </c>
    </row>
    <row r="23" spans="1:27" x14ac:dyDescent="0.25">
      <c r="A23" s="74">
        <f t="shared" si="7"/>
        <v>5000</v>
      </c>
      <c r="B23" s="74">
        <f t="shared" si="8"/>
        <v>136</v>
      </c>
      <c r="C23" s="128">
        <v>852</v>
      </c>
      <c r="D23" s="139">
        <f t="shared" si="14"/>
        <v>1</v>
      </c>
      <c r="E23" s="133">
        <f t="shared" si="9"/>
        <v>51.12</v>
      </c>
      <c r="F23" s="134">
        <f t="shared" si="10"/>
        <v>50.89</v>
      </c>
      <c r="G23" s="24">
        <v>60</v>
      </c>
      <c r="H23" s="24">
        <v>50</v>
      </c>
      <c r="I23" s="135">
        <f t="shared" si="11"/>
        <v>50</v>
      </c>
      <c r="J23" s="101">
        <f t="shared" si="12"/>
        <v>20</v>
      </c>
      <c r="K23" s="136">
        <f t="shared" si="13"/>
        <v>0.39123630672926452</v>
      </c>
      <c r="L23" s="126"/>
      <c r="M23" s="137">
        <f t="shared" si="15"/>
        <v>0.76923076923076927</v>
      </c>
      <c r="N23" s="138"/>
      <c r="O23" s="128"/>
      <c r="P23" s="128"/>
    </row>
    <row r="24" spans="1:27" x14ac:dyDescent="0.25">
      <c r="A24" s="150"/>
      <c r="B24" s="150"/>
      <c r="C24" s="128"/>
      <c r="D24" s="128"/>
      <c r="E24" s="133"/>
      <c r="F24" s="134"/>
      <c r="G24" s="24"/>
      <c r="H24" s="24"/>
      <c r="I24" s="135"/>
      <c r="J24" s="101"/>
      <c r="K24" s="126"/>
      <c r="L24" s="126"/>
      <c r="M24" s="137">
        <f t="shared" si="15"/>
        <v>0</v>
      </c>
      <c r="N24" s="138"/>
      <c r="O24" s="128"/>
      <c r="P24" s="128"/>
    </row>
    <row r="25" spans="1:27" x14ac:dyDescent="0.25">
      <c r="A25" s="150">
        <f t="shared" ref="A25:A30" si="16">Q3</f>
        <v>0</v>
      </c>
      <c r="B25" s="150">
        <f t="shared" ref="B25:B30" si="17">P$5</f>
        <v>252</v>
      </c>
      <c r="C25" s="128">
        <v>268</v>
      </c>
      <c r="D25" s="139">
        <f>60/60</f>
        <v>1</v>
      </c>
      <c r="E25" s="133">
        <f>60/D25*C25/1000</f>
        <v>16.079999999999998</v>
      </c>
      <c r="F25" s="134">
        <f t="shared" ref="F25:F30" si="18">E25-$J$7</f>
        <v>15.849999999999998</v>
      </c>
      <c r="G25" s="24">
        <v>60</v>
      </c>
      <c r="H25" s="24">
        <v>120</v>
      </c>
      <c r="I25" s="135">
        <f t="shared" ref="I25:I30" si="19">60*H25/G25</f>
        <v>120</v>
      </c>
      <c r="J25" s="101">
        <f t="shared" ref="J25:J30" si="20">I25/100*A25/100*0.8</f>
        <v>0</v>
      </c>
      <c r="K25" s="136">
        <f t="shared" ref="K25:K30" si="21">J25/E25</f>
        <v>0</v>
      </c>
      <c r="L25" s="126"/>
      <c r="M25" s="137"/>
      <c r="N25" s="138"/>
      <c r="O25" s="128"/>
      <c r="P25" s="128"/>
      <c r="Q25" s="69"/>
      <c r="R25" s="70"/>
      <c r="S25" s="70"/>
    </row>
    <row r="26" spans="1:27" x14ac:dyDescent="0.25">
      <c r="A26" s="150">
        <f t="shared" si="16"/>
        <v>500</v>
      </c>
      <c r="B26" s="150">
        <f t="shared" si="17"/>
        <v>252</v>
      </c>
      <c r="C26" s="128">
        <v>376</v>
      </c>
      <c r="D26" s="139">
        <f t="shared" ref="D26:D30" si="22">60/60</f>
        <v>1</v>
      </c>
      <c r="E26" s="133">
        <f>60/D26*C26/1000</f>
        <v>22.56</v>
      </c>
      <c r="F26" s="134">
        <f t="shared" si="18"/>
        <v>22.33</v>
      </c>
      <c r="G26" s="24">
        <v>60</v>
      </c>
      <c r="H26" s="24">
        <v>115</v>
      </c>
      <c r="I26" s="135">
        <f t="shared" si="19"/>
        <v>115</v>
      </c>
      <c r="J26" s="101">
        <f t="shared" si="20"/>
        <v>4.6000000000000005</v>
      </c>
      <c r="K26" s="136">
        <f t="shared" si="21"/>
        <v>0.2039007092198582</v>
      </c>
      <c r="L26" s="126"/>
      <c r="M26" s="137">
        <f>I26/$I$26</f>
        <v>1</v>
      </c>
      <c r="N26" s="138"/>
      <c r="O26" s="128"/>
      <c r="P26" s="128"/>
      <c r="Z26" s="123">
        <v>100</v>
      </c>
      <c r="AA26" s="123">
        <f>Z26/400*600</f>
        <v>150</v>
      </c>
    </row>
    <row r="27" spans="1:27" x14ac:dyDescent="0.25">
      <c r="A27" s="150">
        <f t="shared" si="16"/>
        <v>1000</v>
      </c>
      <c r="B27" s="150">
        <f t="shared" si="17"/>
        <v>252</v>
      </c>
      <c r="C27" s="128">
        <v>460</v>
      </c>
      <c r="D27" s="139">
        <f t="shared" si="22"/>
        <v>1</v>
      </c>
      <c r="E27" s="133">
        <f>60/D27*C27/1000</f>
        <v>27.6</v>
      </c>
      <c r="F27" s="134">
        <f t="shared" si="18"/>
        <v>27.37</v>
      </c>
      <c r="G27" s="24">
        <v>60</v>
      </c>
      <c r="H27" s="24">
        <v>110</v>
      </c>
      <c r="I27" s="135">
        <f t="shared" si="19"/>
        <v>110</v>
      </c>
      <c r="J27" s="101">
        <f t="shared" si="20"/>
        <v>8.8000000000000007</v>
      </c>
      <c r="K27" s="136">
        <f t="shared" si="21"/>
        <v>0.31884057971014496</v>
      </c>
      <c r="L27" s="126"/>
      <c r="M27" s="137">
        <f>I27/$I$26</f>
        <v>0.95652173913043481</v>
      </c>
      <c r="N27" s="138"/>
      <c r="O27" s="128"/>
      <c r="P27" s="128"/>
      <c r="Z27" s="123">
        <v>200</v>
      </c>
      <c r="AA27" s="123">
        <f>Z27/400*600</f>
        <v>300</v>
      </c>
    </row>
    <row r="28" spans="1:27" x14ac:dyDescent="0.25">
      <c r="A28" s="150">
        <f t="shared" si="16"/>
        <v>3000</v>
      </c>
      <c r="B28" s="150">
        <f t="shared" si="17"/>
        <v>252</v>
      </c>
      <c r="C28" s="128">
        <v>804</v>
      </c>
      <c r="D28" s="139">
        <f t="shared" si="22"/>
        <v>1</v>
      </c>
      <c r="E28" s="133">
        <f t="shared" ref="E28:E30" si="23">60/D28*C28/1000</f>
        <v>48.24</v>
      </c>
      <c r="F28" s="134">
        <f t="shared" si="18"/>
        <v>48.010000000000005</v>
      </c>
      <c r="G28" s="24">
        <v>60</v>
      </c>
      <c r="H28" s="24">
        <v>100</v>
      </c>
      <c r="I28" s="135">
        <f t="shared" si="19"/>
        <v>100</v>
      </c>
      <c r="J28" s="101">
        <f t="shared" si="20"/>
        <v>24</v>
      </c>
      <c r="K28" s="136">
        <f t="shared" si="21"/>
        <v>0.49751243781094523</v>
      </c>
      <c r="L28" s="126"/>
      <c r="M28" s="137">
        <f>I28/$I$26</f>
        <v>0.86956521739130432</v>
      </c>
      <c r="N28" s="138"/>
      <c r="O28" s="128"/>
      <c r="P28" s="128"/>
      <c r="Z28" s="123">
        <v>300</v>
      </c>
      <c r="AA28" s="123">
        <f>Z28/400*600</f>
        <v>450</v>
      </c>
    </row>
    <row r="29" spans="1:27" x14ac:dyDescent="0.25">
      <c r="A29" s="150">
        <f t="shared" si="16"/>
        <v>4000</v>
      </c>
      <c r="B29" s="150">
        <f t="shared" si="17"/>
        <v>252</v>
      </c>
      <c r="C29" s="128">
        <v>996</v>
      </c>
      <c r="D29" s="139">
        <f t="shared" si="22"/>
        <v>1</v>
      </c>
      <c r="E29" s="133">
        <f t="shared" si="23"/>
        <v>59.76</v>
      </c>
      <c r="F29" s="134">
        <f t="shared" si="18"/>
        <v>59.53</v>
      </c>
      <c r="G29" s="24">
        <v>60</v>
      </c>
      <c r="H29" s="24">
        <v>95</v>
      </c>
      <c r="I29" s="135">
        <f t="shared" si="19"/>
        <v>95</v>
      </c>
      <c r="J29" s="101">
        <f t="shared" si="20"/>
        <v>30.400000000000002</v>
      </c>
      <c r="K29" s="136">
        <f t="shared" si="21"/>
        <v>0.50870147255689424</v>
      </c>
      <c r="L29" s="126"/>
      <c r="M29" s="137">
        <f>I29/$I$26</f>
        <v>0.82608695652173914</v>
      </c>
      <c r="N29" s="138"/>
      <c r="O29" s="128"/>
      <c r="P29" s="128"/>
      <c r="Z29" s="123">
        <v>400</v>
      </c>
      <c r="AA29" s="123">
        <f>Z29/400*600</f>
        <v>600</v>
      </c>
    </row>
    <row r="30" spans="1:27" x14ac:dyDescent="0.25">
      <c r="A30" s="150">
        <f t="shared" si="16"/>
        <v>5000</v>
      </c>
      <c r="B30" s="150">
        <f t="shared" si="17"/>
        <v>252</v>
      </c>
      <c r="C30" s="128">
        <v>1260</v>
      </c>
      <c r="D30" s="139">
        <f t="shared" si="22"/>
        <v>1</v>
      </c>
      <c r="E30" s="133">
        <f t="shared" si="23"/>
        <v>75.599999999999994</v>
      </c>
      <c r="F30" s="134">
        <f t="shared" si="18"/>
        <v>75.36999999999999</v>
      </c>
      <c r="G30" s="24">
        <v>60</v>
      </c>
      <c r="H30" s="24">
        <v>90</v>
      </c>
      <c r="I30" s="135">
        <f t="shared" si="19"/>
        <v>90</v>
      </c>
      <c r="J30" s="101">
        <f t="shared" si="20"/>
        <v>36</v>
      </c>
      <c r="K30" s="136">
        <f t="shared" si="21"/>
        <v>0.47619047619047622</v>
      </c>
      <c r="L30" s="126"/>
      <c r="M30" s="137">
        <f>I30/$I$26</f>
        <v>0.78260869565217395</v>
      </c>
      <c r="N30" s="138"/>
      <c r="O30" s="128"/>
      <c r="P30" s="128"/>
    </row>
    <row r="31" spans="1:27" x14ac:dyDescent="0.25">
      <c r="A31" s="74"/>
      <c r="B31" s="150"/>
      <c r="C31" s="128"/>
      <c r="D31" s="128"/>
      <c r="E31" s="133"/>
      <c r="F31" s="134"/>
      <c r="G31" s="24"/>
      <c r="H31" s="24"/>
      <c r="I31" s="135"/>
      <c r="J31" s="101"/>
      <c r="K31" s="126"/>
      <c r="L31" s="126"/>
      <c r="M31" s="137"/>
      <c r="N31" s="138"/>
      <c r="O31" s="128"/>
      <c r="P31" s="128"/>
    </row>
    <row r="32" spans="1:27" x14ac:dyDescent="0.25">
      <c r="A32" s="150">
        <f t="shared" ref="A32:A37" si="24">Q3</f>
        <v>0</v>
      </c>
      <c r="B32" s="150">
        <f t="shared" ref="B32:B37" si="25">P$6</f>
        <v>368</v>
      </c>
      <c r="C32" s="128">
        <v>410</v>
      </c>
      <c r="D32" s="139">
        <f>60/60</f>
        <v>1</v>
      </c>
      <c r="E32" s="133">
        <f t="shared" ref="E32:E37" si="26">60/D32*C32/1000</f>
        <v>24.6</v>
      </c>
      <c r="F32" s="134">
        <f t="shared" ref="F32:F37" si="27">E32-$J$7</f>
        <v>24.37</v>
      </c>
      <c r="G32" s="24">
        <v>60</v>
      </c>
      <c r="H32" s="24">
        <v>170</v>
      </c>
      <c r="I32" s="135">
        <f t="shared" ref="I32:I37" si="28">60*H32/G32</f>
        <v>170</v>
      </c>
      <c r="J32" s="101">
        <f t="shared" ref="J32:J37" si="29">I32/100*A32/100*0.8</f>
        <v>0</v>
      </c>
      <c r="K32" s="136">
        <f t="shared" ref="K32:K37" si="30">J32/E32</f>
        <v>0</v>
      </c>
      <c r="L32" s="126"/>
      <c r="M32" s="137"/>
      <c r="N32" s="138"/>
      <c r="O32" s="128"/>
      <c r="P32" s="128"/>
      <c r="Q32" s="69"/>
      <c r="R32" s="70"/>
      <c r="S32" s="70"/>
    </row>
    <row r="33" spans="1:27" x14ac:dyDescent="0.25">
      <c r="A33" s="150">
        <f t="shared" si="24"/>
        <v>500</v>
      </c>
      <c r="B33" s="150">
        <f t="shared" si="25"/>
        <v>368</v>
      </c>
      <c r="C33" s="128">
        <v>548</v>
      </c>
      <c r="D33" s="139">
        <f t="shared" ref="D33:D37" si="31">60/60</f>
        <v>1</v>
      </c>
      <c r="E33" s="133">
        <f t="shared" si="26"/>
        <v>32.880000000000003</v>
      </c>
      <c r="F33" s="134">
        <f t="shared" si="27"/>
        <v>32.650000000000006</v>
      </c>
      <c r="G33" s="24">
        <v>60</v>
      </c>
      <c r="H33" s="24">
        <v>165</v>
      </c>
      <c r="I33" s="135">
        <f t="shared" si="28"/>
        <v>165</v>
      </c>
      <c r="J33" s="101">
        <f t="shared" si="29"/>
        <v>6.6000000000000005</v>
      </c>
      <c r="K33" s="136">
        <f t="shared" si="30"/>
        <v>0.20072992700729927</v>
      </c>
      <c r="L33" s="126"/>
      <c r="M33" s="137">
        <f>I33/$I$33</f>
        <v>1</v>
      </c>
      <c r="N33" s="138"/>
      <c r="O33" s="128"/>
      <c r="P33" s="128"/>
      <c r="Z33" s="123">
        <v>100</v>
      </c>
      <c r="AA33" s="123">
        <f>Z33/400*600</f>
        <v>150</v>
      </c>
    </row>
    <row r="34" spans="1:27" x14ac:dyDescent="0.25">
      <c r="A34" s="150">
        <f t="shared" si="24"/>
        <v>1000</v>
      </c>
      <c r="B34" s="150">
        <f t="shared" si="25"/>
        <v>368</v>
      </c>
      <c r="C34" s="128">
        <v>682</v>
      </c>
      <c r="D34" s="139">
        <f t="shared" si="31"/>
        <v>1</v>
      </c>
      <c r="E34" s="133">
        <f t="shared" si="26"/>
        <v>40.92</v>
      </c>
      <c r="F34" s="134">
        <f t="shared" si="27"/>
        <v>40.690000000000005</v>
      </c>
      <c r="G34" s="24">
        <v>60</v>
      </c>
      <c r="H34" s="24">
        <v>160</v>
      </c>
      <c r="I34" s="135">
        <f t="shared" si="28"/>
        <v>160</v>
      </c>
      <c r="J34" s="101">
        <f t="shared" si="29"/>
        <v>12.8</v>
      </c>
      <c r="K34" s="136">
        <f t="shared" si="30"/>
        <v>0.31280547409579668</v>
      </c>
      <c r="L34" s="126"/>
      <c r="M34" s="137">
        <f>I34/$I$33</f>
        <v>0.96969696969696972</v>
      </c>
      <c r="N34" s="138"/>
      <c r="O34" s="128"/>
      <c r="P34" s="128"/>
      <c r="Z34" s="123">
        <v>200</v>
      </c>
      <c r="AA34" s="123">
        <f>Z34/400*600</f>
        <v>300</v>
      </c>
    </row>
    <row r="35" spans="1:27" x14ac:dyDescent="0.25">
      <c r="A35" s="150">
        <f t="shared" si="24"/>
        <v>3000</v>
      </c>
      <c r="B35" s="150">
        <f t="shared" si="25"/>
        <v>368</v>
      </c>
      <c r="C35" s="128">
        <v>1132</v>
      </c>
      <c r="D35" s="139">
        <f t="shared" si="31"/>
        <v>1</v>
      </c>
      <c r="E35" s="133">
        <f t="shared" si="26"/>
        <v>67.92</v>
      </c>
      <c r="F35" s="134">
        <f t="shared" si="27"/>
        <v>67.69</v>
      </c>
      <c r="G35" s="24">
        <v>60</v>
      </c>
      <c r="H35" s="24">
        <v>145</v>
      </c>
      <c r="I35" s="135">
        <f t="shared" si="28"/>
        <v>145</v>
      </c>
      <c r="J35" s="101">
        <f t="shared" si="29"/>
        <v>34.800000000000004</v>
      </c>
      <c r="K35" s="136">
        <f t="shared" si="30"/>
        <v>0.51236749116607783</v>
      </c>
      <c r="L35" s="126"/>
      <c r="M35" s="137">
        <f>I35/$I$33</f>
        <v>0.87878787878787878</v>
      </c>
      <c r="N35" s="138"/>
      <c r="O35" s="128"/>
      <c r="P35" s="128"/>
      <c r="Z35" s="123">
        <v>300</v>
      </c>
      <c r="AA35" s="123">
        <f>Z35/400*600</f>
        <v>450</v>
      </c>
    </row>
    <row r="36" spans="1:27" x14ac:dyDescent="0.25">
      <c r="A36" s="150">
        <f t="shared" si="24"/>
        <v>4000</v>
      </c>
      <c r="B36" s="150">
        <f t="shared" si="25"/>
        <v>368</v>
      </c>
      <c r="C36" s="128">
        <v>1466</v>
      </c>
      <c r="D36" s="139">
        <f t="shared" si="31"/>
        <v>1</v>
      </c>
      <c r="E36" s="133">
        <f t="shared" si="26"/>
        <v>87.96</v>
      </c>
      <c r="F36" s="134">
        <f t="shared" si="27"/>
        <v>87.72999999999999</v>
      </c>
      <c r="G36" s="24">
        <v>60</v>
      </c>
      <c r="H36" s="24">
        <v>140</v>
      </c>
      <c r="I36" s="135">
        <f t="shared" si="28"/>
        <v>140</v>
      </c>
      <c r="J36" s="101">
        <f t="shared" si="29"/>
        <v>44.800000000000004</v>
      </c>
      <c r="K36" s="136">
        <f t="shared" si="30"/>
        <v>0.50932241928149169</v>
      </c>
      <c r="L36" s="126"/>
      <c r="M36" s="137">
        <f>I36/$I$33</f>
        <v>0.84848484848484851</v>
      </c>
      <c r="N36" s="138"/>
      <c r="O36" s="128"/>
      <c r="P36" s="128"/>
      <c r="Z36" s="123">
        <v>400</v>
      </c>
      <c r="AA36" s="123">
        <f>Z36/400*600</f>
        <v>600</v>
      </c>
    </row>
    <row r="37" spans="1:27" x14ac:dyDescent="0.25">
      <c r="A37" s="150">
        <f t="shared" si="24"/>
        <v>5000</v>
      </c>
      <c r="B37" s="150">
        <f t="shared" si="25"/>
        <v>368</v>
      </c>
      <c r="C37" s="128">
        <v>1624</v>
      </c>
      <c r="D37" s="139">
        <f t="shared" si="31"/>
        <v>1</v>
      </c>
      <c r="E37" s="133">
        <f t="shared" si="26"/>
        <v>97.44</v>
      </c>
      <c r="F37" s="134">
        <f t="shared" si="27"/>
        <v>97.21</v>
      </c>
      <c r="G37" s="24">
        <v>60</v>
      </c>
      <c r="H37" s="24">
        <v>135</v>
      </c>
      <c r="I37" s="135">
        <f t="shared" si="28"/>
        <v>135</v>
      </c>
      <c r="J37" s="101">
        <f t="shared" si="29"/>
        <v>54</v>
      </c>
      <c r="K37" s="136">
        <f t="shared" si="30"/>
        <v>0.55418719211822665</v>
      </c>
      <c r="L37" s="126"/>
      <c r="M37" s="137">
        <f>I37/$I$33</f>
        <v>0.81818181818181823</v>
      </c>
      <c r="N37" s="138"/>
      <c r="O37" s="128"/>
      <c r="P37" s="128"/>
    </row>
    <row r="38" spans="1:27" x14ac:dyDescent="0.25">
      <c r="A38" s="150"/>
      <c r="B38" s="150"/>
      <c r="C38" s="128"/>
      <c r="D38" s="128"/>
      <c r="E38" s="133"/>
      <c r="F38" s="134"/>
      <c r="G38" s="24"/>
      <c r="H38" s="24"/>
      <c r="I38" s="135"/>
      <c r="J38" s="101"/>
      <c r="K38" s="126"/>
      <c r="L38" s="126"/>
      <c r="M38" s="137"/>
      <c r="N38" s="138"/>
      <c r="O38" s="128"/>
      <c r="P38" s="128"/>
    </row>
    <row r="39" spans="1:27" x14ac:dyDescent="0.25">
      <c r="A39" s="150">
        <f t="shared" ref="A39:A44" si="32">Q3</f>
        <v>0</v>
      </c>
      <c r="B39" s="150">
        <f t="shared" ref="B39:B44" si="33">P$7</f>
        <v>484</v>
      </c>
      <c r="C39" s="128">
        <v>544</v>
      </c>
      <c r="D39" s="139">
        <f>60/60</f>
        <v>1</v>
      </c>
      <c r="E39" s="133">
        <f t="shared" ref="E39:E44" si="34">60/D39*C39/1000</f>
        <v>32.64</v>
      </c>
      <c r="F39" s="134">
        <f t="shared" ref="F39:F44" si="35">E39-$J$7</f>
        <v>32.410000000000004</v>
      </c>
      <c r="G39" s="24">
        <v>60</v>
      </c>
      <c r="H39" s="24">
        <v>215</v>
      </c>
      <c r="I39" s="135">
        <f t="shared" ref="I39:I44" si="36">60*H39/G39</f>
        <v>215</v>
      </c>
      <c r="J39" s="101">
        <f t="shared" ref="J39:J44" si="37">I39/100*A39/100*0.8</f>
        <v>0</v>
      </c>
      <c r="K39" s="136">
        <f t="shared" ref="K39:K44" si="38">J39/E39</f>
        <v>0</v>
      </c>
      <c r="L39" s="126"/>
      <c r="M39" s="137"/>
      <c r="N39" s="138"/>
      <c r="O39" s="128"/>
      <c r="P39" s="128"/>
      <c r="Q39" s="69"/>
      <c r="R39" s="70"/>
      <c r="S39" s="70"/>
    </row>
    <row r="40" spans="1:27" x14ac:dyDescent="0.25">
      <c r="A40" s="150">
        <f t="shared" si="32"/>
        <v>500</v>
      </c>
      <c r="B40" s="150">
        <f t="shared" si="33"/>
        <v>484</v>
      </c>
      <c r="C40" s="128">
        <v>671</v>
      </c>
      <c r="D40" s="139">
        <f t="shared" ref="D40:D44" si="39">60/60</f>
        <v>1</v>
      </c>
      <c r="E40" s="133">
        <f t="shared" si="34"/>
        <v>40.26</v>
      </c>
      <c r="F40" s="134">
        <f t="shared" si="35"/>
        <v>40.03</v>
      </c>
      <c r="G40" s="24">
        <v>60</v>
      </c>
      <c r="H40" s="24">
        <v>215</v>
      </c>
      <c r="I40" s="135">
        <f t="shared" si="36"/>
        <v>215</v>
      </c>
      <c r="J40" s="101">
        <f t="shared" si="37"/>
        <v>8.6</v>
      </c>
      <c r="K40" s="136">
        <f t="shared" si="38"/>
        <v>0.21361152508693493</v>
      </c>
      <c r="L40" s="126"/>
      <c r="M40" s="137">
        <f>I40/$I$40</f>
        <v>1</v>
      </c>
      <c r="N40" s="138"/>
      <c r="O40" s="128"/>
      <c r="P40" s="128"/>
      <c r="Z40" s="123">
        <v>100</v>
      </c>
      <c r="AA40" s="123">
        <f>Z40/400*600</f>
        <v>150</v>
      </c>
    </row>
    <row r="41" spans="1:27" x14ac:dyDescent="0.25">
      <c r="A41" s="150">
        <f t="shared" si="32"/>
        <v>1000</v>
      </c>
      <c r="B41" s="150">
        <f t="shared" si="33"/>
        <v>484</v>
      </c>
      <c r="C41" s="128">
        <v>870</v>
      </c>
      <c r="D41" s="139">
        <f t="shared" si="39"/>
        <v>1</v>
      </c>
      <c r="E41" s="133">
        <f t="shared" si="34"/>
        <v>52.2</v>
      </c>
      <c r="F41" s="134">
        <f t="shared" si="35"/>
        <v>51.970000000000006</v>
      </c>
      <c r="G41" s="24">
        <v>60</v>
      </c>
      <c r="H41" s="24">
        <v>200</v>
      </c>
      <c r="I41" s="135">
        <f t="shared" si="36"/>
        <v>200</v>
      </c>
      <c r="J41" s="101">
        <f t="shared" si="37"/>
        <v>16</v>
      </c>
      <c r="K41" s="136">
        <f t="shared" si="38"/>
        <v>0.3065134099616858</v>
      </c>
      <c r="L41" s="126"/>
      <c r="M41" s="137">
        <f>I41/$I$40</f>
        <v>0.93023255813953487</v>
      </c>
      <c r="N41" s="138"/>
      <c r="O41" s="128"/>
      <c r="P41" s="128"/>
      <c r="Z41" s="123">
        <v>200</v>
      </c>
      <c r="AA41" s="123">
        <f>Z41/400*600</f>
        <v>300</v>
      </c>
    </row>
    <row r="42" spans="1:27" x14ac:dyDescent="0.25">
      <c r="A42" s="150">
        <f t="shared" si="32"/>
        <v>3000</v>
      </c>
      <c r="B42" s="150">
        <f t="shared" si="33"/>
        <v>484</v>
      </c>
      <c r="C42" s="128">
        <v>1422</v>
      </c>
      <c r="D42" s="139">
        <f t="shared" si="39"/>
        <v>1</v>
      </c>
      <c r="E42" s="133">
        <f t="shared" si="34"/>
        <v>85.32</v>
      </c>
      <c r="F42" s="134">
        <f t="shared" si="35"/>
        <v>85.089999999999989</v>
      </c>
      <c r="G42" s="24">
        <v>60</v>
      </c>
      <c r="H42" s="24">
        <v>185</v>
      </c>
      <c r="I42" s="135">
        <f t="shared" si="36"/>
        <v>185</v>
      </c>
      <c r="J42" s="101">
        <f t="shared" si="37"/>
        <v>44.400000000000006</v>
      </c>
      <c r="K42" s="136">
        <f t="shared" si="38"/>
        <v>0.5203938115330522</v>
      </c>
      <c r="L42" s="126"/>
      <c r="M42" s="137">
        <f>I42/$I$40</f>
        <v>0.86046511627906974</v>
      </c>
      <c r="N42" s="138"/>
      <c r="O42" s="128"/>
      <c r="P42" s="128"/>
      <c r="Z42" s="123">
        <v>300</v>
      </c>
      <c r="AA42" s="123">
        <f>Z42/400*600</f>
        <v>450</v>
      </c>
    </row>
    <row r="43" spans="1:27" x14ac:dyDescent="0.25">
      <c r="A43" s="150">
        <f t="shared" si="32"/>
        <v>4000</v>
      </c>
      <c r="B43" s="150">
        <f t="shared" si="33"/>
        <v>484</v>
      </c>
      <c r="C43" s="128">
        <v>1732</v>
      </c>
      <c r="D43" s="139">
        <f t="shared" si="39"/>
        <v>1</v>
      </c>
      <c r="E43" s="133">
        <f t="shared" si="34"/>
        <v>103.92</v>
      </c>
      <c r="F43" s="134">
        <f t="shared" si="35"/>
        <v>103.69</v>
      </c>
      <c r="G43" s="24">
        <v>60</v>
      </c>
      <c r="H43" s="24">
        <v>180</v>
      </c>
      <c r="I43" s="135">
        <f t="shared" si="36"/>
        <v>180</v>
      </c>
      <c r="J43" s="101">
        <f t="shared" si="37"/>
        <v>57.6</v>
      </c>
      <c r="K43" s="136">
        <f t="shared" si="38"/>
        <v>0.55427251732101612</v>
      </c>
      <c r="L43" s="126"/>
      <c r="M43" s="137">
        <f>I43/$I$40</f>
        <v>0.83720930232558144</v>
      </c>
      <c r="N43" s="138"/>
      <c r="O43" s="128"/>
      <c r="P43" s="128"/>
      <c r="Z43" s="123">
        <v>400</v>
      </c>
      <c r="AA43" s="123">
        <f>Z43/400*600</f>
        <v>600</v>
      </c>
    </row>
    <row r="44" spans="1:27" x14ac:dyDescent="0.25">
      <c r="A44" s="150">
        <f t="shared" si="32"/>
        <v>5000</v>
      </c>
      <c r="B44" s="150">
        <f t="shared" si="33"/>
        <v>484</v>
      </c>
      <c r="C44" s="128">
        <v>2112</v>
      </c>
      <c r="D44" s="139">
        <f t="shared" si="39"/>
        <v>1</v>
      </c>
      <c r="E44" s="133">
        <f t="shared" si="34"/>
        <v>126.72</v>
      </c>
      <c r="F44" s="134">
        <f t="shared" si="35"/>
        <v>126.49</v>
      </c>
      <c r="G44" s="24">
        <v>60</v>
      </c>
      <c r="H44" s="24">
        <v>175</v>
      </c>
      <c r="I44" s="135">
        <f t="shared" si="36"/>
        <v>175</v>
      </c>
      <c r="J44" s="101">
        <f t="shared" si="37"/>
        <v>70</v>
      </c>
      <c r="K44" s="136">
        <f t="shared" si="38"/>
        <v>0.55239898989898994</v>
      </c>
      <c r="L44" s="126"/>
      <c r="M44" s="137">
        <f>I44/$I$40</f>
        <v>0.81395348837209303</v>
      </c>
      <c r="N44" s="138"/>
      <c r="O44" s="128"/>
      <c r="P44" s="128"/>
    </row>
    <row r="45" spans="1:27" x14ac:dyDescent="0.25">
      <c r="A45" s="74"/>
      <c r="B45" s="150"/>
      <c r="C45" s="128"/>
      <c r="D45" s="139"/>
      <c r="E45" s="133"/>
      <c r="F45" s="134"/>
      <c r="G45" s="24"/>
      <c r="H45" s="24"/>
      <c r="I45" s="135"/>
      <c r="J45" s="101"/>
      <c r="K45" s="126"/>
      <c r="L45" s="126"/>
      <c r="M45" s="137"/>
      <c r="N45" s="138"/>
      <c r="O45" s="128"/>
      <c r="P45" s="128"/>
    </row>
    <row r="46" spans="1:27" x14ac:dyDescent="0.25">
      <c r="A46" s="150">
        <f t="shared" ref="A46:A51" si="40">Q3</f>
        <v>0</v>
      </c>
      <c r="B46" s="150">
        <f t="shared" ref="B46:B51" si="41">P$8</f>
        <v>600</v>
      </c>
      <c r="C46" s="128">
        <v>630</v>
      </c>
      <c r="D46" s="139">
        <f>60/60</f>
        <v>1</v>
      </c>
      <c r="E46" s="133">
        <f t="shared" ref="E46:E51" si="42">60/D46*C46/1000</f>
        <v>37.799999999999997</v>
      </c>
      <c r="F46" s="134">
        <f t="shared" ref="F46:F51" si="43">E46-$J$7</f>
        <v>37.57</v>
      </c>
      <c r="G46" s="24">
        <v>60</v>
      </c>
      <c r="H46" s="24">
        <v>280</v>
      </c>
      <c r="I46" s="135">
        <f t="shared" ref="I46:I51" si="44">60*H46/G46</f>
        <v>280</v>
      </c>
      <c r="J46" s="101">
        <f t="shared" ref="J46:J51" si="45">I46/100*A46/100*0.8</f>
        <v>0</v>
      </c>
      <c r="K46" s="136">
        <f t="shared" ref="K46:K51" si="46">J46/E46</f>
        <v>0</v>
      </c>
      <c r="L46" s="126"/>
      <c r="M46" s="137"/>
      <c r="N46" s="138"/>
      <c r="O46" s="128"/>
      <c r="P46" s="128"/>
      <c r="Q46" s="69"/>
      <c r="R46" s="70"/>
      <c r="S46" s="70"/>
    </row>
    <row r="47" spans="1:27" x14ac:dyDescent="0.25">
      <c r="A47" s="150">
        <f t="shared" si="40"/>
        <v>500</v>
      </c>
      <c r="B47" s="150">
        <f t="shared" si="41"/>
        <v>600</v>
      </c>
      <c r="C47" s="128">
        <v>834</v>
      </c>
      <c r="D47" s="139">
        <f t="shared" ref="D47:D51" si="47">60/60</f>
        <v>1</v>
      </c>
      <c r="E47" s="133">
        <f t="shared" si="42"/>
        <v>50.04</v>
      </c>
      <c r="F47" s="134">
        <f t="shared" si="43"/>
        <v>49.81</v>
      </c>
      <c r="G47" s="24">
        <v>60</v>
      </c>
      <c r="H47" s="24">
        <v>270</v>
      </c>
      <c r="I47" s="135">
        <f t="shared" si="44"/>
        <v>270</v>
      </c>
      <c r="J47" s="101">
        <f t="shared" si="45"/>
        <v>10.8</v>
      </c>
      <c r="K47" s="136">
        <f t="shared" si="46"/>
        <v>0.21582733812949642</v>
      </c>
      <c r="L47" s="126"/>
      <c r="M47" s="137">
        <f>I47/$I$47</f>
        <v>1</v>
      </c>
      <c r="N47" s="138"/>
      <c r="O47" s="128"/>
      <c r="P47" s="128"/>
      <c r="R47" s="70"/>
      <c r="Z47" s="123">
        <v>100</v>
      </c>
      <c r="AA47" s="123">
        <f>Z47/400*600</f>
        <v>150</v>
      </c>
    </row>
    <row r="48" spans="1:27" x14ac:dyDescent="0.25">
      <c r="A48" s="150">
        <f t="shared" si="40"/>
        <v>1000</v>
      </c>
      <c r="B48" s="150">
        <f t="shared" si="41"/>
        <v>600</v>
      </c>
      <c r="C48" s="128">
        <v>998</v>
      </c>
      <c r="D48" s="139">
        <f t="shared" si="47"/>
        <v>1</v>
      </c>
      <c r="E48" s="133">
        <f t="shared" si="42"/>
        <v>59.88</v>
      </c>
      <c r="F48" s="134">
        <f t="shared" si="43"/>
        <v>59.650000000000006</v>
      </c>
      <c r="G48" s="24">
        <v>60</v>
      </c>
      <c r="H48" s="24">
        <v>255</v>
      </c>
      <c r="I48" s="135">
        <f t="shared" si="44"/>
        <v>255</v>
      </c>
      <c r="J48" s="101">
        <f t="shared" si="45"/>
        <v>20.400000000000002</v>
      </c>
      <c r="K48" s="136">
        <f t="shared" si="46"/>
        <v>0.34068136272545091</v>
      </c>
      <c r="L48" s="126"/>
      <c r="M48" s="137">
        <f>I48/$I$47</f>
        <v>0.94444444444444442</v>
      </c>
      <c r="N48" s="138"/>
      <c r="O48" s="128"/>
      <c r="P48" s="128"/>
      <c r="R48" s="70"/>
      <c r="Z48" s="123">
        <v>200</v>
      </c>
      <c r="AA48" s="123">
        <f>Z48/400*600</f>
        <v>300</v>
      </c>
    </row>
    <row r="49" spans="1:27" x14ac:dyDescent="0.25">
      <c r="A49" s="150">
        <f t="shared" si="40"/>
        <v>3000</v>
      </c>
      <c r="B49" s="150">
        <f t="shared" si="41"/>
        <v>600</v>
      </c>
      <c r="C49" s="128">
        <v>1796</v>
      </c>
      <c r="D49" s="139">
        <f t="shared" si="47"/>
        <v>1</v>
      </c>
      <c r="E49" s="133">
        <f t="shared" si="42"/>
        <v>107.76</v>
      </c>
      <c r="F49" s="134">
        <f t="shared" si="43"/>
        <v>107.53</v>
      </c>
      <c r="G49" s="24">
        <v>60</v>
      </c>
      <c r="H49" s="24">
        <v>230</v>
      </c>
      <c r="I49" s="135">
        <f t="shared" si="44"/>
        <v>230</v>
      </c>
      <c r="J49" s="101">
        <f t="shared" si="45"/>
        <v>55.199999999999989</v>
      </c>
      <c r="K49" s="136">
        <f t="shared" si="46"/>
        <v>0.51224944320712684</v>
      </c>
      <c r="L49" s="126"/>
      <c r="M49" s="137">
        <f>I49/$I$47</f>
        <v>0.85185185185185186</v>
      </c>
      <c r="N49" s="138"/>
      <c r="O49" s="128"/>
      <c r="P49" s="128"/>
      <c r="R49" s="70"/>
      <c r="Z49" s="123">
        <v>300</v>
      </c>
      <c r="AA49" s="123">
        <f>Z49/400*600</f>
        <v>450</v>
      </c>
    </row>
    <row r="50" spans="1:27" x14ac:dyDescent="0.25">
      <c r="A50" s="150">
        <f t="shared" si="40"/>
        <v>4000</v>
      </c>
      <c r="B50" s="150">
        <f t="shared" si="41"/>
        <v>600</v>
      </c>
      <c r="C50" s="128">
        <v>2080</v>
      </c>
      <c r="D50" s="139">
        <f t="shared" si="47"/>
        <v>1</v>
      </c>
      <c r="E50" s="133">
        <f t="shared" si="42"/>
        <v>124.8</v>
      </c>
      <c r="F50" s="134">
        <f t="shared" si="43"/>
        <v>124.57</v>
      </c>
      <c r="G50" s="24">
        <v>60</v>
      </c>
      <c r="H50" s="24">
        <v>225</v>
      </c>
      <c r="I50" s="135">
        <f t="shared" si="44"/>
        <v>225</v>
      </c>
      <c r="J50" s="101">
        <f t="shared" si="45"/>
        <v>72</v>
      </c>
      <c r="K50" s="136">
        <f t="shared" si="46"/>
        <v>0.57692307692307698</v>
      </c>
      <c r="L50" s="126"/>
      <c r="M50" s="137">
        <f>I50/$I$47</f>
        <v>0.83333333333333337</v>
      </c>
      <c r="N50" s="138"/>
      <c r="O50" s="128"/>
      <c r="P50" s="128"/>
      <c r="R50" s="70"/>
      <c r="Z50" s="123">
        <v>400</v>
      </c>
      <c r="AA50" s="123">
        <f>Z50/400*600</f>
        <v>600</v>
      </c>
    </row>
    <row r="51" spans="1:27" x14ac:dyDescent="0.25">
      <c r="A51" s="150">
        <f t="shared" si="40"/>
        <v>5000</v>
      </c>
      <c r="B51" s="150">
        <f t="shared" si="41"/>
        <v>600</v>
      </c>
      <c r="C51" s="128">
        <v>2408</v>
      </c>
      <c r="D51" s="139">
        <f t="shared" si="47"/>
        <v>1</v>
      </c>
      <c r="E51" s="133">
        <f t="shared" si="42"/>
        <v>144.47999999999999</v>
      </c>
      <c r="F51" s="134">
        <f t="shared" si="43"/>
        <v>144.25</v>
      </c>
      <c r="G51" s="24">
        <v>60</v>
      </c>
      <c r="H51" s="24">
        <v>215</v>
      </c>
      <c r="I51" s="135">
        <f t="shared" si="44"/>
        <v>215</v>
      </c>
      <c r="J51" s="101">
        <f t="shared" si="45"/>
        <v>86</v>
      </c>
      <c r="K51" s="136">
        <f t="shared" si="46"/>
        <v>0.59523809523809523</v>
      </c>
      <c r="L51" s="126"/>
      <c r="M51" s="137">
        <f>I51/$I$47</f>
        <v>0.79629629629629628</v>
      </c>
      <c r="N51" s="138"/>
      <c r="O51" s="128"/>
      <c r="P51" s="128"/>
      <c r="R51" s="70"/>
    </row>
    <row r="52" spans="1:27" x14ac:dyDescent="0.25">
      <c r="A52" s="128"/>
      <c r="B52" s="150"/>
      <c r="C52" s="126"/>
      <c r="D52" s="126"/>
      <c r="E52" s="126"/>
      <c r="F52" s="140"/>
      <c r="G52" s="126"/>
      <c r="H52" s="128"/>
      <c r="I52" s="141"/>
      <c r="J52" s="71"/>
      <c r="K52" s="126"/>
      <c r="L52" s="126"/>
      <c r="M52" s="137"/>
      <c r="N52" s="138"/>
      <c r="O52" s="128"/>
      <c r="P52" s="128"/>
    </row>
    <row r="53" spans="1:27" x14ac:dyDescent="0.25">
      <c r="A53" s="128"/>
      <c r="B53" s="74"/>
      <c r="C53" s="126"/>
      <c r="D53" s="126"/>
      <c r="E53" s="126"/>
      <c r="F53" s="126"/>
      <c r="G53" s="126"/>
      <c r="H53" s="128"/>
      <c r="I53" s="141"/>
      <c r="J53" s="71"/>
      <c r="K53" s="126"/>
      <c r="L53" s="126"/>
      <c r="M53" s="137"/>
      <c r="N53" s="138"/>
      <c r="O53" s="128"/>
      <c r="P53" s="128"/>
    </row>
    <row r="54" spans="1:27" x14ac:dyDescent="0.25">
      <c r="A54" s="128"/>
      <c r="B54" s="150"/>
      <c r="C54" s="126"/>
      <c r="D54" s="126"/>
      <c r="E54" s="126"/>
      <c r="F54" s="126"/>
      <c r="G54" s="126"/>
      <c r="H54" s="128"/>
      <c r="I54" s="141"/>
      <c r="J54" s="71"/>
      <c r="K54" s="126"/>
      <c r="L54" s="126"/>
      <c r="M54" s="137"/>
      <c r="N54" s="138"/>
      <c r="O54" s="128"/>
      <c r="P54" s="128"/>
    </row>
    <row r="55" spans="1:27" x14ac:dyDescent="0.25">
      <c r="A55" s="47"/>
      <c r="B55" s="150"/>
      <c r="C55" s="126"/>
      <c r="D55" s="126"/>
      <c r="E55" s="126"/>
      <c r="F55" s="126"/>
      <c r="G55" s="126"/>
      <c r="H55" s="128"/>
      <c r="I55" s="141"/>
      <c r="J55" s="71"/>
      <c r="K55" s="126"/>
      <c r="L55" s="126"/>
      <c r="M55" s="137"/>
      <c r="N55" s="138"/>
      <c r="O55" s="128"/>
      <c r="P55" s="128"/>
    </row>
    <row r="56" spans="1:27" x14ac:dyDescent="0.25">
      <c r="A56" s="71"/>
      <c r="B56" s="74"/>
      <c r="C56" s="126"/>
      <c r="D56" s="126"/>
      <c r="E56" s="126"/>
      <c r="F56" s="126"/>
      <c r="G56" s="126"/>
      <c r="H56" s="128"/>
      <c r="I56" s="141"/>
      <c r="J56" s="71"/>
      <c r="K56" s="126"/>
      <c r="L56" s="126"/>
      <c r="M56" s="137"/>
      <c r="N56" s="138"/>
      <c r="O56" s="128"/>
      <c r="P56" s="128"/>
    </row>
    <row r="57" spans="1:27" x14ac:dyDescent="0.25">
      <c r="A57" s="47"/>
      <c r="B57" s="150"/>
      <c r="C57" s="126"/>
      <c r="D57" s="126"/>
      <c r="E57" s="126"/>
      <c r="F57" s="126"/>
      <c r="G57" s="126"/>
      <c r="H57" s="128"/>
      <c r="I57" s="128"/>
      <c r="J57" s="47"/>
      <c r="K57" s="126"/>
      <c r="L57" s="126"/>
      <c r="M57" s="137"/>
      <c r="N57" s="138"/>
      <c r="O57" s="128"/>
      <c r="P57" s="128"/>
    </row>
    <row r="58" spans="1:27" x14ac:dyDescent="0.25">
      <c r="A58" s="47"/>
      <c r="B58" s="150"/>
      <c r="C58" s="126"/>
      <c r="D58" s="126"/>
      <c r="E58" s="126"/>
      <c r="F58" s="126"/>
      <c r="G58" s="136"/>
      <c r="H58" s="128"/>
      <c r="I58" s="128"/>
      <c r="J58" s="47"/>
      <c r="K58" s="126"/>
      <c r="L58" s="126"/>
      <c r="M58" s="137"/>
      <c r="N58" s="138"/>
      <c r="O58" s="128"/>
      <c r="P58" s="128"/>
    </row>
    <row r="59" spans="1:27" x14ac:dyDescent="0.25">
      <c r="A59" s="47"/>
      <c r="B59" s="150"/>
      <c r="C59" s="126"/>
      <c r="D59" s="126"/>
      <c r="E59" s="126"/>
      <c r="F59" s="126"/>
      <c r="G59" s="126"/>
      <c r="H59" s="128"/>
      <c r="I59" s="128"/>
      <c r="J59" s="47"/>
      <c r="K59" s="126"/>
      <c r="L59" s="126"/>
      <c r="M59" s="137"/>
      <c r="N59" s="138"/>
      <c r="O59" s="128"/>
      <c r="P59" s="128"/>
    </row>
    <row r="60" spans="1:27" x14ac:dyDescent="0.25">
      <c r="A60" s="47"/>
      <c r="B60" s="150"/>
      <c r="C60" s="126"/>
      <c r="D60" s="126"/>
      <c r="E60" s="126"/>
      <c r="F60" s="126"/>
      <c r="G60" s="126"/>
      <c r="H60" s="128"/>
      <c r="I60" s="128"/>
      <c r="J60" s="47"/>
      <c r="K60" s="126"/>
      <c r="L60" s="126"/>
      <c r="M60" s="137"/>
      <c r="N60" s="138"/>
      <c r="O60" s="128"/>
      <c r="P60" s="128"/>
    </row>
    <row r="61" spans="1:27" x14ac:dyDescent="0.25">
      <c r="A61" s="47"/>
      <c r="B61" s="150"/>
      <c r="C61" s="126"/>
      <c r="D61" s="126"/>
      <c r="E61" s="126"/>
      <c r="F61" s="126"/>
      <c r="G61" s="126"/>
      <c r="H61" s="128"/>
      <c r="I61" s="128"/>
      <c r="J61" s="47"/>
      <c r="K61" s="126"/>
      <c r="L61" s="126"/>
      <c r="M61" s="137"/>
      <c r="N61" s="138"/>
      <c r="O61" s="128"/>
      <c r="P61" s="128"/>
    </row>
    <row r="63" spans="1:27" x14ac:dyDescent="0.25">
      <c r="L63" s="80" t="s">
        <v>17</v>
      </c>
      <c r="N63" s="123" t="s">
        <v>228</v>
      </c>
    </row>
    <row r="64" spans="1:27" x14ac:dyDescent="0.25">
      <c r="K64" s="79" t="s">
        <v>176</v>
      </c>
      <c r="L64" s="81">
        <f>B11</f>
        <v>20</v>
      </c>
      <c r="M64" s="80">
        <f>B18</f>
        <v>136</v>
      </c>
      <c r="N64" s="80">
        <f>B25</f>
        <v>252</v>
      </c>
      <c r="O64" s="80">
        <f>B32</f>
        <v>368</v>
      </c>
      <c r="P64" s="80">
        <f>B39</f>
        <v>484</v>
      </c>
      <c r="Q64" s="80">
        <f>B46</f>
        <v>600</v>
      </c>
    </row>
    <row r="65" spans="1:18" x14ac:dyDescent="0.25">
      <c r="K65" s="82">
        <f t="shared" ref="K65:K70" si="48">Q3</f>
        <v>0</v>
      </c>
      <c r="L65" s="140">
        <f t="shared" ref="L65:L70" si="49">I11</f>
        <v>10</v>
      </c>
      <c r="M65" s="142">
        <f t="shared" ref="M65:M70" si="50">I18</f>
        <v>65</v>
      </c>
      <c r="N65" s="142">
        <f t="shared" ref="N65:N70" si="51">I25</f>
        <v>120</v>
      </c>
      <c r="O65" s="142">
        <f t="shared" ref="O65:O70" si="52">I32</f>
        <v>170</v>
      </c>
      <c r="P65" s="142">
        <f t="shared" ref="P65:P70" si="53">I39</f>
        <v>215</v>
      </c>
      <c r="Q65" s="142">
        <f t="shared" ref="Q65:Q70" si="54">I46</f>
        <v>280</v>
      </c>
    </row>
    <row r="66" spans="1:18" x14ac:dyDescent="0.25">
      <c r="K66" s="82">
        <f t="shared" si="48"/>
        <v>500</v>
      </c>
      <c r="L66" s="140">
        <f t="shared" si="49"/>
        <v>9.8333333333333339</v>
      </c>
      <c r="M66" s="142">
        <f t="shared" si="50"/>
        <v>65</v>
      </c>
      <c r="N66" s="142">
        <f t="shared" si="51"/>
        <v>115</v>
      </c>
      <c r="O66" s="142">
        <f t="shared" si="52"/>
        <v>165</v>
      </c>
      <c r="P66" s="142">
        <f t="shared" si="53"/>
        <v>215</v>
      </c>
      <c r="Q66" s="142">
        <f t="shared" si="54"/>
        <v>270</v>
      </c>
    </row>
    <row r="67" spans="1:18" x14ac:dyDescent="0.25">
      <c r="K67" s="82">
        <f t="shared" si="48"/>
        <v>1000</v>
      </c>
      <c r="L67" s="140">
        <f t="shared" si="49"/>
        <v>9.5</v>
      </c>
      <c r="M67" s="142">
        <f t="shared" si="50"/>
        <v>65</v>
      </c>
      <c r="N67" s="142">
        <f t="shared" si="51"/>
        <v>110</v>
      </c>
      <c r="O67" s="142">
        <f t="shared" si="52"/>
        <v>160</v>
      </c>
      <c r="P67" s="142">
        <f t="shared" si="53"/>
        <v>200</v>
      </c>
      <c r="Q67" s="142">
        <f t="shared" si="54"/>
        <v>255</v>
      </c>
    </row>
    <row r="68" spans="1:18" x14ac:dyDescent="0.25">
      <c r="K68" s="82">
        <f t="shared" si="48"/>
        <v>3000</v>
      </c>
      <c r="L68" s="140">
        <f t="shared" si="49"/>
        <v>9</v>
      </c>
      <c r="M68" s="142">
        <f t="shared" si="50"/>
        <v>60</v>
      </c>
      <c r="N68" s="142">
        <f t="shared" si="51"/>
        <v>100</v>
      </c>
      <c r="O68" s="142">
        <f t="shared" si="52"/>
        <v>145</v>
      </c>
      <c r="P68" s="142">
        <f t="shared" si="53"/>
        <v>185</v>
      </c>
      <c r="Q68" s="142">
        <f t="shared" si="54"/>
        <v>230</v>
      </c>
    </row>
    <row r="69" spans="1:18" x14ac:dyDescent="0.25">
      <c r="K69" s="82">
        <f t="shared" si="48"/>
        <v>4000</v>
      </c>
      <c r="L69" s="140">
        <f t="shared" si="49"/>
        <v>8.5</v>
      </c>
      <c r="M69" s="142">
        <f t="shared" si="50"/>
        <v>55</v>
      </c>
      <c r="N69" s="142">
        <f t="shared" si="51"/>
        <v>95</v>
      </c>
      <c r="O69" s="142">
        <f t="shared" si="52"/>
        <v>140</v>
      </c>
      <c r="P69" s="142">
        <f t="shared" si="53"/>
        <v>180</v>
      </c>
      <c r="Q69" s="142">
        <f t="shared" si="54"/>
        <v>225</v>
      </c>
    </row>
    <row r="70" spans="1:18" x14ac:dyDescent="0.25">
      <c r="K70" s="82">
        <f t="shared" si="48"/>
        <v>5000</v>
      </c>
      <c r="L70" s="140">
        <f t="shared" si="49"/>
        <v>8</v>
      </c>
      <c r="M70" s="142">
        <f t="shared" si="50"/>
        <v>50</v>
      </c>
      <c r="N70" s="142">
        <f t="shared" si="51"/>
        <v>90</v>
      </c>
      <c r="O70" s="142">
        <f t="shared" si="52"/>
        <v>135</v>
      </c>
      <c r="P70" s="142">
        <f t="shared" si="53"/>
        <v>175</v>
      </c>
      <c r="Q70" s="142">
        <f t="shared" si="54"/>
        <v>215</v>
      </c>
    </row>
    <row r="71" spans="1:18" x14ac:dyDescent="0.25">
      <c r="K71" s="83"/>
    </row>
    <row r="72" spans="1:18" x14ac:dyDescent="0.25">
      <c r="K72" s="123">
        <f>B80</f>
        <v>2040</v>
      </c>
      <c r="L72" s="123">
        <f t="shared" ref="L72:Q72" si="55">_xlfn.FORECAST.LINEAR($B$80,L65:L70,$K$65:$K$70)</f>
        <v>9.21894876912841</v>
      </c>
      <c r="M72" s="123">
        <f t="shared" si="55"/>
        <v>60.628742514970064</v>
      </c>
      <c r="N72" s="123">
        <f t="shared" si="55"/>
        <v>106.20718562874252</v>
      </c>
      <c r="O72" s="123">
        <f t="shared" si="55"/>
        <v>153.97125748502995</v>
      </c>
      <c r="P72" s="123">
        <f t="shared" si="55"/>
        <v>196.76047904191617</v>
      </c>
      <c r="Q72" s="123">
        <f t="shared" si="55"/>
        <v>248.48662674650697</v>
      </c>
      <c r="R72" s="123" t="s">
        <v>25</v>
      </c>
    </row>
    <row r="73" spans="1:18" x14ac:dyDescent="0.25">
      <c r="J73" s="123" t="s">
        <v>25</v>
      </c>
      <c r="K73" s="143">
        <f>B79</f>
        <v>9.463519999999999</v>
      </c>
      <c r="L73" s="144">
        <f>_xlfn.FORECAST.LINEAR(K73,L64:Q64,L72:Q72)</f>
        <v>15.962696375335163</v>
      </c>
      <c r="M73" s="125" t="s">
        <v>17</v>
      </c>
    </row>
    <row r="77" spans="1:18" x14ac:dyDescent="0.25">
      <c r="A77" s="49" t="s">
        <v>229</v>
      </c>
      <c r="B77" s="145">
        <v>1230</v>
      </c>
      <c r="C77" s="123" t="s">
        <v>25</v>
      </c>
    </row>
    <row r="78" spans="1:18" x14ac:dyDescent="0.25">
      <c r="B78" s="124">
        <v>600</v>
      </c>
      <c r="C78" s="123" t="s">
        <v>17</v>
      </c>
    </row>
    <row r="79" spans="1:18" x14ac:dyDescent="0.25">
      <c r="A79" s="123" t="s">
        <v>230</v>
      </c>
      <c r="B79" s="145">
        <f>Q</f>
        <v>9.463519999999999</v>
      </c>
      <c r="C79" s="123" t="s">
        <v>25</v>
      </c>
    </row>
    <row r="80" spans="1:18" x14ac:dyDescent="0.25">
      <c r="A80" s="123" t="s">
        <v>231</v>
      </c>
      <c r="B80" s="145">
        <f>Pavg</f>
        <v>2040</v>
      </c>
      <c r="C80" s="123">
        <v>5000</v>
      </c>
      <c r="D80" s="123" t="s">
        <v>232</v>
      </c>
    </row>
    <row r="81" spans="1:10" x14ac:dyDescent="0.25">
      <c r="A81" s="123" t="s">
        <v>233</v>
      </c>
      <c r="B81" s="124">
        <v>0</v>
      </c>
      <c r="C81" s="123" t="s">
        <v>234</v>
      </c>
      <c r="E81" s="123" t="s">
        <v>235</v>
      </c>
    </row>
    <row r="82" spans="1:10" x14ac:dyDescent="0.25">
      <c r="A82" s="123" t="s">
        <v>236</v>
      </c>
      <c r="B82" s="124">
        <f>L73</f>
        <v>15.962696375335163</v>
      </c>
    </row>
    <row r="83" spans="1:10" x14ac:dyDescent="0.25">
      <c r="A83" s="123" t="s">
        <v>237</v>
      </c>
      <c r="B83" s="124">
        <f>(1+(B80/C80*B81))*B82</f>
        <v>15.962696375335163</v>
      </c>
    </row>
    <row r="84" spans="1:10" x14ac:dyDescent="0.25">
      <c r="A84" s="123" t="s">
        <v>238</v>
      </c>
    </row>
    <row r="85" spans="1:10" x14ac:dyDescent="0.25">
      <c r="A85" s="79" t="s">
        <v>176</v>
      </c>
      <c r="E85" s="123" t="s">
        <v>239</v>
      </c>
      <c r="H85" s="123" t="s">
        <v>240</v>
      </c>
    </row>
    <row r="86" spans="1:10" x14ac:dyDescent="0.25">
      <c r="A86" s="80" t="s">
        <v>17</v>
      </c>
      <c r="B86" s="124">
        <v>0.1</v>
      </c>
      <c r="C86" s="81">
        <f>B11</f>
        <v>20</v>
      </c>
      <c r="D86" s="80">
        <f>B18</f>
        <v>136</v>
      </c>
      <c r="E86" s="80">
        <f>B25</f>
        <v>252</v>
      </c>
      <c r="F86" s="80">
        <f>B32</f>
        <v>368</v>
      </c>
      <c r="G86" s="80">
        <f>B39</f>
        <v>484</v>
      </c>
      <c r="H86" s="80">
        <f>B46</f>
        <v>600</v>
      </c>
      <c r="I86" s="123">
        <f t="shared" ref="I86:I92" si="56">H86*10</f>
        <v>6000</v>
      </c>
    </row>
    <row r="87" spans="1:10" x14ac:dyDescent="0.25">
      <c r="A87" s="82">
        <f>Q3</f>
        <v>0</v>
      </c>
      <c r="B87" s="124">
        <f t="shared" ref="B87:B92" si="57">$J$7</f>
        <v>0.22999999999999998</v>
      </c>
      <c r="C87" s="126">
        <f>F11</f>
        <v>2.89</v>
      </c>
      <c r="D87" s="128">
        <f>F18</f>
        <v>9.85</v>
      </c>
      <c r="E87" s="128">
        <f t="shared" ref="E87:E92" si="58">F25</f>
        <v>15.849999999999998</v>
      </c>
      <c r="F87" s="128">
        <f t="shared" ref="F87:F92" si="59">F32</f>
        <v>24.37</v>
      </c>
      <c r="G87" s="128">
        <f t="shared" ref="G87:G92" si="60">F39</f>
        <v>32.410000000000004</v>
      </c>
      <c r="H87" s="128">
        <f t="shared" ref="H87:H92" si="61">F46</f>
        <v>37.57</v>
      </c>
      <c r="I87" s="123">
        <f t="shared" si="56"/>
        <v>375.7</v>
      </c>
      <c r="J87" s="123">
        <f t="shared" ref="J87:J92" ca="1" si="62">_xlfn.FORECAST.LINEAR(__RPM1,OFFSET(B87:H87,0,MATCH(__RPM1,$B$86:$H$86,1)-1,1,2),OFFSET($B$86:$H$86,0,MATCH(__RPM1,$B$86:$H$86,1)-1,1,2))</f>
        <v>2.3503403195171622</v>
      </c>
    </row>
    <row r="88" spans="1:10" x14ac:dyDescent="0.25">
      <c r="A88" s="82">
        <f t="shared" ref="A88:A91" si="63">Q4</f>
        <v>500</v>
      </c>
      <c r="B88" s="124">
        <f t="shared" si="57"/>
        <v>0.22999999999999998</v>
      </c>
      <c r="C88" s="126">
        <f>E12</f>
        <v>4.08</v>
      </c>
      <c r="D88" s="128">
        <f>E19</f>
        <v>13.92</v>
      </c>
      <c r="E88" s="128">
        <f t="shared" si="58"/>
        <v>22.33</v>
      </c>
      <c r="F88" s="128">
        <f t="shared" si="59"/>
        <v>32.650000000000006</v>
      </c>
      <c r="G88" s="128">
        <f t="shared" si="60"/>
        <v>40.03</v>
      </c>
      <c r="H88" s="128">
        <f t="shared" si="61"/>
        <v>49.81</v>
      </c>
      <c r="I88" s="123">
        <f t="shared" si="56"/>
        <v>498.1</v>
      </c>
      <c r="J88" s="123">
        <f t="shared" ca="1" si="62"/>
        <v>3.2989136203537885</v>
      </c>
    </row>
    <row r="89" spans="1:10" x14ac:dyDescent="0.25">
      <c r="A89" s="82">
        <f t="shared" si="63"/>
        <v>1000</v>
      </c>
      <c r="B89" s="124">
        <f t="shared" si="57"/>
        <v>0.22999999999999998</v>
      </c>
      <c r="C89" s="126">
        <f>E13</f>
        <v>4.8</v>
      </c>
      <c r="D89" s="128">
        <f>E20</f>
        <v>17.52</v>
      </c>
      <c r="E89" s="128">
        <f t="shared" si="58"/>
        <v>27.37</v>
      </c>
      <c r="F89" s="128">
        <f t="shared" si="59"/>
        <v>40.690000000000005</v>
      </c>
      <c r="G89" s="128">
        <f t="shared" si="60"/>
        <v>51.970000000000006</v>
      </c>
      <c r="H89" s="128">
        <f t="shared" si="61"/>
        <v>59.650000000000006</v>
      </c>
      <c r="I89" s="123">
        <f t="shared" si="56"/>
        <v>596.5</v>
      </c>
      <c r="J89" s="123">
        <f t="shared" ca="1" si="62"/>
        <v>3.8728403233809892</v>
      </c>
    </row>
    <row r="90" spans="1:10" x14ac:dyDescent="0.25">
      <c r="A90" s="82">
        <f t="shared" si="63"/>
        <v>3000</v>
      </c>
      <c r="B90" s="124">
        <f t="shared" si="57"/>
        <v>0.22999999999999998</v>
      </c>
      <c r="C90" s="126">
        <f>E14</f>
        <v>12.24</v>
      </c>
      <c r="D90" s="128">
        <f>E21</f>
        <v>30.72</v>
      </c>
      <c r="E90" s="128">
        <f t="shared" si="58"/>
        <v>48.010000000000005</v>
      </c>
      <c r="F90" s="128">
        <f t="shared" si="59"/>
        <v>67.69</v>
      </c>
      <c r="G90" s="128">
        <f t="shared" si="60"/>
        <v>85.089999999999989</v>
      </c>
      <c r="H90" s="128">
        <f t="shared" si="61"/>
        <v>107.53</v>
      </c>
      <c r="I90" s="123">
        <f t="shared" si="56"/>
        <v>1075.3</v>
      </c>
      <c r="J90" s="123">
        <f t="shared" ca="1" si="62"/>
        <v>9.8034162546620749</v>
      </c>
    </row>
    <row r="91" spans="1:10" x14ac:dyDescent="0.25">
      <c r="A91" s="82">
        <f t="shared" si="63"/>
        <v>4000</v>
      </c>
      <c r="B91" s="124">
        <f t="shared" si="57"/>
        <v>0.22999999999999998</v>
      </c>
      <c r="C91" s="126">
        <f>E15</f>
        <v>17.760000000000002</v>
      </c>
      <c r="D91" s="128">
        <f>E22</f>
        <v>39.6</v>
      </c>
      <c r="E91" s="128">
        <f t="shared" si="58"/>
        <v>59.53</v>
      </c>
      <c r="F91" s="128">
        <f t="shared" si="59"/>
        <v>87.72999999999999</v>
      </c>
      <c r="G91" s="128">
        <f t="shared" si="60"/>
        <v>103.69</v>
      </c>
      <c r="H91" s="128">
        <f t="shared" si="61"/>
        <v>124.57</v>
      </c>
      <c r="I91" s="123">
        <f t="shared" si="56"/>
        <v>1245.6999999999998</v>
      </c>
      <c r="J91" s="123">
        <f t="shared" ca="1" si="62"/>
        <v>14.203520977870623</v>
      </c>
    </row>
    <row r="92" spans="1:10" x14ac:dyDescent="0.25">
      <c r="A92" s="82">
        <f>Q8+0.1</f>
        <v>5000.1000000000004</v>
      </c>
      <c r="B92" s="124">
        <f t="shared" si="57"/>
        <v>0.22999999999999998</v>
      </c>
      <c r="C92" s="126">
        <f>E16</f>
        <v>23.76</v>
      </c>
      <c r="D92" s="128">
        <f>E23</f>
        <v>51.12</v>
      </c>
      <c r="E92" s="128">
        <f t="shared" si="58"/>
        <v>75.36999999999999</v>
      </c>
      <c r="F92" s="128">
        <f t="shared" si="59"/>
        <v>97.21</v>
      </c>
      <c r="G92" s="128">
        <f t="shared" si="60"/>
        <v>126.49</v>
      </c>
      <c r="H92" s="128">
        <f t="shared" si="61"/>
        <v>144.25</v>
      </c>
      <c r="I92" s="123">
        <f t="shared" si="56"/>
        <v>1442.5</v>
      </c>
      <c r="J92" s="123">
        <f t="shared" ca="1" si="62"/>
        <v>18.986243503097306</v>
      </c>
    </row>
    <row r="95" spans="1:10" x14ac:dyDescent="0.25">
      <c r="A95" s="123" t="s">
        <v>241</v>
      </c>
      <c r="B95" s="146">
        <f>B83</f>
        <v>15.962696375335163</v>
      </c>
      <c r="C95" s="123" t="s">
        <v>17</v>
      </c>
    </row>
    <row r="96" spans="1:10" x14ac:dyDescent="0.25">
      <c r="A96" s="123" t="s">
        <v>242</v>
      </c>
      <c r="B96" s="146">
        <f>B80</f>
        <v>2040</v>
      </c>
      <c r="C96" s="123" t="s">
        <v>165</v>
      </c>
    </row>
    <row r="97" spans="1:3" x14ac:dyDescent="0.25">
      <c r="A97" s="123" t="s">
        <v>243</v>
      </c>
      <c r="B97" s="147">
        <f ca="1">_xlfn.FORECAST.LINEAR(Press1,OFFSET(J87:J92,MATCH(Press1,A87:A92,1)-1,0,2),OFFSET(A87:A92,MATCH(Press1,A87:A92,1)-1,0,2))</f>
        <v>6.9567398076471543</v>
      </c>
      <c r="C97" s="123" t="s">
        <v>18</v>
      </c>
    </row>
  </sheetData>
  <mergeCells count="3">
    <mergeCell ref="C9:E9"/>
    <mergeCell ref="F9:H9"/>
    <mergeCell ref="L9:N9"/>
  </mergeCells>
  <pageMargins left="0.70866141732283472" right="0.70866141732283472" top="0.74803149606299213" bottom="0.74803149606299213" header="0.31496062992125984" footer="0.31496062992125984"/>
  <pageSetup scale="63" orientation="landscape" r:id="rId1"/>
  <rowBreaks count="1" manualBreakCount="1">
    <brk id="54" max="1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982B6-8D42-4F41-A129-EEE3E5953A33}">
  <sheetPr>
    <tabColor rgb="FFFF0000"/>
  </sheetPr>
  <dimension ref="A1:AA106"/>
  <sheetViews>
    <sheetView topLeftCell="D79" workbookViewId="0">
      <selection activeCell="G115" sqref="G115"/>
    </sheetView>
  </sheetViews>
  <sheetFormatPr defaultColWidth="9.140625" defaultRowHeight="15" x14ac:dyDescent="0.25"/>
  <cols>
    <col min="1" max="1" width="14.7109375" style="40" customWidth="1"/>
    <col min="2" max="2" width="11.28515625" style="77" customWidth="1"/>
    <col min="3" max="3" width="12.42578125" style="40" customWidth="1"/>
    <col min="4" max="4" width="19.140625" style="40" customWidth="1"/>
    <col min="5" max="5" width="13.7109375" style="40" customWidth="1"/>
    <col min="6" max="6" width="14.85546875" style="40" customWidth="1"/>
    <col min="7" max="7" width="13.140625" style="40" customWidth="1"/>
    <col min="8" max="8" width="9.140625" style="40"/>
    <col min="9" max="9" width="12.140625" style="40" customWidth="1"/>
    <col min="10" max="10" width="10.5703125" style="40" customWidth="1"/>
    <col min="11" max="11" width="12" style="40" customWidth="1"/>
    <col min="12" max="12" width="9.140625" style="40" customWidth="1"/>
    <col min="13" max="13" width="9.140625" style="44"/>
    <col min="14" max="16384" width="9.140625" style="40"/>
  </cols>
  <sheetData>
    <row r="1" spans="1:27" x14ac:dyDescent="0.25">
      <c r="B1" s="41" t="s">
        <v>195</v>
      </c>
      <c r="C1" s="42">
        <v>44266</v>
      </c>
      <c r="D1" s="128" t="s">
        <v>196</v>
      </c>
      <c r="E1" s="43"/>
      <c r="F1" s="43"/>
      <c r="M1" s="125"/>
    </row>
    <row r="2" spans="1:27" ht="21" x14ac:dyDescent="0.35">
      <c r="A2" s="45" t="s">
        <v>251</v>
      </c>
      <c r="B2" s="46"/>
      <c r="C2" s="45"/>
      <c r="D2" s="45"/>
      <c r="E2" s="45"/>
      <c r="F2" s="45"/>
      <c r="G2" s="45"/>
      <c r="H2" s="45"/>
      <c r="I2" s="45"/>
      <c r="J2" s="45"/>
      <c r="K2" s="45"/>
      <c r="L2" s="45"/>
      <c r="M2" s="40"/>
      <c r="P2" s="47" t="s">
        <v>198</v>
      </c>
      <c r="Q2" s="49" t="s">
        <v>199</v>
      </c>
    </row>
    <row r="3" spans="1:27" x14ac:dyDescent="0.25">
      <c r="A3" s="47" t="s">
        <v>200</v>
      </c>
      <c r="B3" s="150"/>
      <c r="C3" s="47" t="s">
        <v>244</v>
      </c>
      <c r="D3" s="47"/>
      <c r="E3" s="47"/>
      <c r="F3" s="47"/>
      <c r="G3" s="48"/>
      <c r="H3" s="43"/>
      <c r="I3" s="49"/>
      <c r="K3" s="49"/>
      <c r="L3" s="49"/>
      <c r="M3" s="40"/>
      <c r="P3" s="47">
        <f>1000*0.1</f>
        <v>100</v>
      </c>
      <c r="Q3" s="49">
        <v>0</v>
      </c>
    </row>
    <row r="4" spans="1:27" x14ac:dyDescent="0.25">
      <c r="A4" s="150" t="s">
        <v>204</v>
      </c>
      <c r="B4" s="150"/>
      <c r="C4" s="150">
        <v>0.625</v>
      </c>
      <c r="D4" s="150"/>
      <c r="E4" s="150"/>
      <c r="F4" s="150"/>
      <c r="G4" s="51" t="s">
        <v>205</v>
      </c>
      <c r="H4" s="222" t="s">
        <v>355</v>
      </c>
      <c r="I4" s="223"/>
      <c r="J4" s="224" t="s">
        <v>18</v>
      </c>
      <c r="K4" s="225"/>
      <c r="L4" s="224"/>
      <c r="M4" s="226"/>
      <c r="N4" s="223"/>
      <c r="O4" s="47"/>
      <c r="P4" s="47">
        <f>1000*0.2</f>
        <v>200</v>
      </c>
      <c r="Q4" s="49">
        <v>100</v>
      </c>
      <c r="S4" s="154" t="s">
        <v>255</v>
      </c>
    </row>
    <row r="5" spans="1:27" x14ac:dyDescent="0.25">
      <c r="A5" s="150" t="s">
        <v>206</v>
      </c>
      <c r="B5" s="150"/>
      <c r="C5" s="150" t="s">
        <v>247</v>
      </c>
      <c r="D5" s="150"/>
      <c r="E5" s="150"/>
      <c r="F5" s="150"/>
      <c r="G5" s="52" t="s">
        <v>207</v>
      </c>
      <c r="H5" s="227">
        <v>73.5</v>
      </c>
      <c r="I5" s="225"/>
      <c r="J5" s="223">
        <f>H5/1000*25</f>
        <v>1.8374999999999999</v>
      </c>
      <c r="K5" s="228" t="s">
        <v>357</v>
      </c>
      <c r="L5" s="223"/>
      <c r="M5" s="226"/>
      <c r="N5" s="223"/>
      <c r="O5" s="47"/>
      <c r="P5" s="47">
        <f>1000*0.4</f>
        <v>400</v>
      </c>
      <c r="Q5" s="49">
        <v>250</v>
      </c>
      <c r="S5" s="40">
        <v>300</v>
      </c>
    </row>
    <row r="6" spans="1:27" x14ac:dyDescent="0.25">
      <c r="A6" s="150" t="s">
        <v>208</v>
      </c>
      <c r="B6" s="150"/>
      <c r="C6" s="150">
        <f>0.15-0.014</f>
        <v>0.13599999999999998</v>
      </c>
      <c r="D6" s="150"/>
      <c r="E6" s="150"/>
      <c r="F6" s="150"/>
      <c r="G6" s="51" t="s">
        <v>209</v>
      </c>
      <c r="H6" s="227">
        <v>64.3</v>
      </c>
      <c r="I6" s="225"/>
      <c r="J6" s="223">
        <f>H6/1000*25</f>
        <v>1.6074999999999999</v>
      </c>
      <c r="K6" s="228" t="s">
        <v>357</v>
      </c>
      <c r="L6" s="223"/>
      <c r="M6" s="226"/>
      <c r="N6" s="223"/>
      <c r="O6" s="47"/>
      <c r="P6" s="47">
        <f>1000*0.6</f>
        <v>600</v>
      </c>
      <c r="Q6" s="49">
        <v>500</v>
      </c>
    </row>
    <row r="7" spans="1:27" x14ac:dyDescent="0.25">
      <c r="A7" s="53" t="s">
        <v>210</v>
      </c>
      <c r="B7" s="150"/>
      <c r="C7" s="150" t="s">
        <v>252</v>
      </c>
      <c r="D7" s="150"/>
      <c r="E7" s="150"/>
      <c r="F7" s="150"/>
      <c r="H7" s="223"/>
      <c r="I7" s="223" t="s">
        <v>212</v>
      </c>
      <c r="J7" s="224">
        <f>J5-J6</f>
        <v>0.22999999999999998</v>
      </c>
      <c r="K7" s="224" t="s">
        <v>18</v>
      </c>
      <c r="L7" s="228" t="s">
        <v>356</v>
      </c>
      <c r="M7" s="226"/>
      <c r="N7" s="223"/>
      <c r="O7" s="47"/>
      <c r="P7" s="47">
        <f>1000*0.8</f>
        <v>800</v>
      </c>
      <c r="Q7" s="49">
        <v>750</v>
      </c>
    </row>
    <row r="8" spans="1:27" ht="15.75" thickBot="1" x14ac:dyDescent="0.3">
      <c r="A8" s="53" t="s">
        <v>213</v>
      </c>
      <c r="B8" s="150"/>
      <c r="C8" s="148" t="s">
        <v>214</v>
      </c>
      <c r="D8" s="53"/>
      <c r="E8" s="53"/>
      <c r="F8" s="53"/>
      <c r="G8" s="40" t="s">
        <v>215</v>
      </c>
      <c r="J8" s="50"/>
      <c r="K8" s="50"/>
      <c r="L8" s="50"/>
      <c r="M8" s="151"/>
      <c r="O8" s="54"/>
      <c r="P8" s="54">
        <v>1000</v>
      </c>
      <c r="Q8" s="49">
        <v>1000</v>
      </c>
    </row>
    <row r="9" spans="1:27" x14ac:dyDescent="0.25">
      <c r="A9" s="47" t="s">
        <v>176</v>
      </c>
      <c r="C9" s="285" t="s">
        <v>216</v>
      </c>
      <c r="D9" s="286"/>
      <c r="E9" s="287"/>
      <c r="F9" s="288" t="s">
        <v>217</v>
      </c>
      <c r="G9" s="288"/>
      <c r="H9" s="288"/>
      <c r="I9" s="55" t="s">
        <v>256</v>
      </c>
      <c r="J9" s="56" t="s">
        <v>218</v>
      </c>
      <c r="K9" s="57" t="s">
        <v>219</v>
      </c>
      <c r="L9" s="289"/>
      <c r="M9" s="290"/>
      <c r="N9" s="290"/>
      <c r="O9" s="58"/>
      <c r="P9" s="156" t="s">
        <v>257</v>
      </c>
      <c r="Z9" s="40">
        <v>10</v>
      </c>
      <c r="AA9" s="40">
        <f t="shared" ref="AA9:AA14" si="0">Z9/400*600</f>
        <v>15</v>
      </c>
    </row>
    <row r="10" spans="1:27" ht="15.75" thickBot="1" x14ac:dyDescent="0.3">
      <c r="A10" s="150" t="s">
        <v>220</v>
      </c>
      <c r="B10" s="150" t="s">
        <v>17</v>
      </c>
      <c r="C10" s="53" t="s">
        <v>202</v>
      </c>
      <c r="D10" s="50" t="s">
        <v>221</v>
      </c>
      <c r="E10" s="61" t="s">
        <v>18</v>
      </c>
      <c r="F10" s="62" t="s">
        <v>222</v>
      </c>
      <c r="G10" s="53" t="s">
        <v>223</v>
      </c>
      <c r="H10" s="53" t="s">
        <v>224</v>
      </c>
      <c r="I10" s="64" t="s">
        <v>225</v>
      </c>
      <c r="J10" s="60" t="s">
        <v>18</v>
      </c>
      <c r="K10" s="63" t="s">
        <v>226</v>
      </c>
      <c r="L10" s="63"/>
      <c r="M10" s="65" t="s">
        <v>227</v>
      </c>
      <c r="N10" s="66"/>
      <c r="O10" s="153" t="s">
        <v>254</v>
      </c>
      <c r="P10" s="68" t="s">
        <v>258</v>
      </c>
      <c r="Q10" s="69"/>
      <c r="R10" s="70"/>
      <c r="S10" s="70"/>
      <c r="Z10" s="40">
        <v>50</v>
      </c>
      <c r="AA10" s="40">
        <f t="shared" si="0"/>
        <v>75</v>
      </c>
    </row>
    <row r="11" spans="1:27" x14ac:dyDescent="0.25">
      <c r="A11" s="74">
        <f>Q3</f>
        <v>0</v>
      </c>
      <c r="B11" s="150">
        <f>P$3</f>
        <v>100</v>
      </c>
      <c r="C11" s="43">
        <v>411</v>
      </c>
      <c r="D11" s="43">
        <v>4</v>
      </c>
      <c r="E11" s="133">
        <f>60/D11*C11/1000</f>
        <v>6.165</v>
      </c>
      <c r="F11" s="100">
        <f>E11-$J$7</f>
        <v>5.9350000000000005</v>
      </c>
      <c r="G11" s="24">
        <v>37.090000000000003</v>
      </c>
      <c r="H11" s="24">
        <v>300</v>
      </c>
      <c r="I11" s="72">
        <f t="shared" ref="I11:I16" si="1">60*H11/G11</f>
        <v>485.30601240226474</v>
      </c>
      <c r="J11" s="101">
        <f t="shared" ref="J11:J16" si="2">I11/100*A11/100*0.8</f>
        <v>0</v>
      </c>
      <c r="K11" s="136">
        <f t="shared" ref="K11:K15" si="3">J11/E11</f>
        <v>0</v>
      </c>
      <c r="L11" s="41"/>
      <c r="M11" s="137"/>
      <c r="N11" s="73"/>
      <c r="O11" s="155">
        <f>B11/S$5</f>
        <v>0.33333333333333331</v>
      </c>
      <c r="P11" s="43">
        <f>I11*O11</f>
        <v>161.7686708007549</v>
      </c>
      <c r="Q11" s="69"/>
      <c r="R11" s="70"/>
      <c r="S11" s="70"/>
    </row>
    <row r="12" spans="1:27" x14ac:dyDescent="0.25">
      <c r="A12" s="74">
        <f t="shared" ref="A12:A16" si="4">Q4</f>
        <v>100</v>
      </c>
      <c r="B12" s="150">
        <f t="shared" ref="B12:B16" si="5">P$3</f>
        <v>100</v>
      </c>
      <c r="C12" s="43">
        <v>620</v>
      </c>
      <c r="D12" s="43">
        <v>4</v>
      </c>
      <c r="E12" s="133">
        <f t="shared" ref="E12:E16" si="6">60/D12*C12/1000</f>
        <v>9.3000000000000007</v>
      </c>
      <c r="F12" s="100">
        <f t="shared" ref="F12:F16" si="7">E12-$J$7</f>
        <v>9.07</v>
      </c>
      <c r="G12" s="24">
        <v>42.47</v>
      </c>
      <c r="H12" s="24">
        <v>300</v>
      </c>
      <c r="I12" s="72">
        <f t="shared" si="1"/>
        <v>423.82858488344715</v>
      </c>
      <c r="J12" s="101">
        <f t="shared" si="2"/>
        <v>3.3906286790675773</v>
      </c>
      <c r="K12" s="136">
        <f t="shared" si="3"/>
        <v>0.36458372893199753</v>
      </c>
      <c r="L12" s="41"/>
      <c r="M12" s="137">
        <f>I12/$I$12</f>
        <v>1</v>
      </c>
      <c r="N12" s="73"/>
      <c r="O12" s="155">
        <f t="shared" ref="O12:O16" si="8">B12/S$5</f>
        <v>0.33333333333333331</v>
      </c>
      <c r="P12" s="43">
        <f t="shared" ref="P12:P16" si="9">I12*O12</f>
        <v>141.27619496114903</v>
      </c>
      <c r="Z12" s="40">
        <v>100</v>
      </c>
      <c r="AA12" s="40">
        <f t="shared" si="0"/>
        <v>150</v>
      </c>
    </row>
    <row r="13" spans="1:27" x14ac:dyDescent="0.25">
      <c r="A13" s="74">
        <f t="shared" si="4"/>
        <v>250</v>
      </c>
      <c r="B13" s="150">
        <f t="shared" si="5"/>
        <v>100</v>
      </c>
      <c r="C13" s="43">
        <v>776</v>
      </c>
      <c r="D13" s="43">
        <v>4</v>
      </c>
      <c r="E13" s="133">
        <f t="shared" si="6"/>
        <v>11.64</v>
      </c>
      <c r="F13" s="100">
        <f t="shared" si="7"/>
        <v>11.41</v>
      </c>
      <c r="G13" s="24">
        <v>45.26</v>
      </c>
      <c r="H13" s="24">
        <v>300</v>
      </c>
      <c r="I13" s="72">
        <f t="shared" si="1"/>
        <v>397.70216526734424</v>
      </c>
      <c r="J13" s="101">
        <f t="shared" si="2"/>
        <v>7.9540433053468851</v>
      </c>
      <c r="K13" s="136">
        <f t="shared" si="3"/>
        <v>0.68333705372395914</v>
      </c>
      <c r="L13" s="41"/>
      <c r="M13" s="137">
        <f>I13/$I$12</f>
        <v>0.93835616438356162</v>
      </c>
      <c r="N13" s="73"/>
      <c r="O13" s="155">
        <f t="shared" si="8"/>
        <v>0.33333333333333331</v>
      </c>
      <c r="P13" s="43">
        <f t="shared" si="9"/>
        <v>132.56738842244806</v>
      </c>
      <c r="Z13" s="40">
        <v>200</v>
      </c>
      <c r="AA13" s="40">
        <f t="shared" si="0"/>
        <v>300</v>
      </c>
    </row>
    <row r="14" spans="1:27" x14ac:dyDescent="0.25">
      <c r="A14" s="74">
        <f t="shared" si="4"/>
        <v>500</v>
      </c>
      <c r="B14" s="150">
        <f t="shared" si="5"/>
        <v>100</v>
      </c>
      <c r="C14" s="43">
        <v>904</v>
      </c>
      <c r="D14" s="43">
        <v>4</v>
      </c>
      <c r="E14" s="133">
        <f t="shared" si="6"/>
        <v>13.56</v>
      </c>
      <c r="F14" s="100">
        <f t="shared" si="7"/>
        <v>13.33</v>
      </c>
      <c r="G14" s="24">
        <v>49.49</v>
      </c>
      <c r="H14" s="24">
        <v>300</v>
      </c>
      <c r="I14" s="72">
        <f t="shared" si="1"/>
        <v>363.70984037179227</v>
      </c>
      <c r="J14" s="101">
        <f t="shared" si="2"/>
        <v>14.548393614871692</v>
      </c>
      <c r="K14" s="136">
        <f t="shared" si="3"/>
        <v>1.0728903845775584</v>
      </c>
      <c r="L14" s="41"/>
      <c r="M14" s="137">
        <f>I14/$I$12</f>
        <v>0.85815316225500093</v>
      </c>
      <c r="N14" s="73"/>
      <c r="O14" s="155">
        <f t="shared" si="8"/>
        <v>0.33333333333333331</v>
      </c>
      <c r="P14" s="43">
        <f t="shared" si="9"/>
        <v>121.23661345726408</v>
      </c>
      <c r="Z14" s="40">
        <v>300</v>
      </c>
      <c r="AA14" s="40">
        <f t="shared" si="0"/>
        <v>450</v>
      </c>
    </row>
    <row r="15" spans="1:27" x14ac:dyDescent="0.25">
      <c r="A15" s="74">
        <f t="shared" si="4"/>
        <v>750</v>
      </c>
      <c r="B15" s="150">
        <f t="shared" si="5"/>
        <v>100</v>
      </c>
      <c r="C15" s="43">
        <v>1166</v>
      </c>
      <c r="D15" s="43">
        <v>4</v>
      </c>
      <c r="E15" s="133">
        <f t="shared" si="6"/>
        <v>17.489999999999998</v>
      </c>
      <c r="F15" s="100">
        <f t="shared" si="7"/>
        <v>17.259999999999998</v>
      </c>
      <c r="G15" s="24">
        <v>53.73</v>
      </c>
      <c r="H15" s="24">
        <v>300</v>
      </c>
      <c r="I15" s="72">
        <f t="shared" si="1"/>
        <v>335.00837520938023</v>
      </c>
      <c r="J15" s="101">
        <f t="shared" si="2"/>
        <v>20.100502512562816</v>
      </c>
      <c r="K15" s="136">
        <f t="shared" si="3"/>
        <v>1.1492568617817507</v>
      </c>
      <c r="L15" s="41"/>
      <c r="M15" s="137">
        <f>I15/$I$12</f>
        <v>0.79043364973013208</v>
      </c>
      <c r="N15" s="73"/>
      <c r="O15" s="155">
        <f t="shared" si="8"/>
        <v>0.33333333333333331</v>
      </c>
      <c r="P15" s="43">
        <f t="shared" si="9"/>
        <v>111.66945840312674</v>
      </c>
      <c r="Z15" s="40">
        <v>400</v>
      </c>
      <c r="AA15" s="40">
        <f>Z15/400*600</f>
        <v>600</v>
      </c>
    </row>
    <row r="16" spans="1:27" x14ac:dyDescent="0.25">
      <c r="A16" s="74">
        <f t="shared" si="4"/>
        <v>1000</v>
      </c>
      <c r="B16" s="150">
        <f t="shared" si="5"/>
        <v>100</v>
      </c>
      <c r="C16" s="43">
        <v>1560</v>
      </c>
      <c r="D16" s="43">
        <v>4</v>
      </c>
      <c r="E16" s="133">
        <f t="shared" si="6"/>
        <v>23.4</v>
      </c>
      <c r="F16" s="100">
        <f t="shared" si="7"/>
        <v>23.169999999999998</v>
      </c>
      <c r="G16" s="24">
        <v>61</v>
      </c>
      <c r="H16" s="24">
        <v>300</v>
      </c>
      <c r="I16" s="72">
        <f t="shared" si="1"/>
        <v>295.08196721311475</v>
      </c>
      <c r="J16" s="101">
        <f t="shared" si="2"/>
        <v>23.606557377049185</v>
      </c>
      <c r="K16" s="136">
        <f>J16/E16</f>
        <v>1.0088272383354353</v>
      </c>
      <c r="L16" s="41"/>
      <c r="M16" s="137">
        <f>I16/$I$12</f>
        <v>0.69622950819672125</v>
      </c>
      <c r="N16" s="73"/>
      <c r="O16" s="155">
        <f t="shared" si="8"/>
        <v>0.33333333333333331</v>
      </c>
      <c r="P16" s="43">
        <f t="shared" si="9"/>
        <v>98.360655737704917</v>
      </c>
    </row>
    <row r="17" spans="1:27" x14ac:dyDescent="0.25">
      <c r="A17" s="74"/>
      <c r="B17" s="74"/>
      <c r="C17" s="43"/>
      <c r="D17" s="43"/>
      <c r="E17" s="133"/>
      <c r="F17" s="100"/>
      <c r="G17" s="24"/>
      <c r="H17" s="24"/>
      <c r="I17" s="72"/>
      <c r="J17" s="101"/>
      <c r="K17" s="41"/>
      <c r="L17" s="41"/>
      <c r="M17" s="137"/>
      <c r="N17" s="73"/>
      <c r="O17" s="155"/>
      <c r="P17" s="43"/>
    </row>
    <row r="18" spans="1:27" x14ac:dyDescent="0.25">
      <c r="A18" s="74">
        <f>Q3</f>
        <v>0</v>
      </c>
      <c r="B18" s="74">
        <f>P$4</f>
        <v>200</v>
      </c>
      <c r="C18" s="43">
        <v>820</v>
      </c>
      <c r="D18" s="43">
        <v>4</v>
      </c>
      <c r="E18" s="133">
        <f>60/D18*C18/1000</f>
        <v>12.3</v>
      </c>
      <c r="F18" s="100">
        <f>E18-$J$7</f>
        <v>12.07</v>
      </c>
      <c r="G18" s="24">
        <v>59.62</v>
      </c>
      <c r="H18" s="24">
        <v>500</v>
      </c>
      <c r="I18" s="72">
        <f t="shared" ref="I18:I22" si="10">60*H18/G18</f>
        <v>503.1868500503187</v>
      </c>
      <c r="J18" s="101">
        <f t="shared" ref="J18:J23" si="11">I18/100*A18/100*0.8</f>
        <v>0</v>
      </c>
      <c r="K18" s="136">
        <f t="shared" ref="K18:K22" si="12">J18/E18</f>
        <v>0</v>
      </c>
      <c r="L18" s="41"/>
      <c r="M18" s="137"/>
      <c r="N18" s="73"/>
      <c r="O18" s="155">
        <f>B18/S$5</f>
        <v>0.66666666666666663</v>
      </c>
      <c r="P18" s="43">
        <f>I18*O18</f>
        <v>335.4579000335458</v>
      </c>
      <c r="Q18" s="69"/>
      <c r="R18" s="70"/>
      <c r="S18" s="70"/>
    </row>
    <row r="19" spans="1:27" x14ac:dyDescent="0.25">
      <c r="A19" s="74">
        <f t="shared" ref="A19:A23" si="13">Q4</f>
        <v>100</v>
      </c>
      <c r="B19" s="74">
        <f t="shared" ref="B19:B23" si="14">P$4</f>
        <v>200</v>
      </c>
      <c r="C19" s="43">
        <v>1231</v>
      </c>
      <c r="D19" s="43">
        <v>4</v>
      </c>
      <c r="E19" s="133">
        <f t="shared" ref="E19:E23" si="15">60/D19*C19/1000</f>
        <v>18.465</v>
      </c>
      <c r="F19" s="100">
        <f t="shared" ref="F19:F23" si="16">E19-$J$7</f>
        <v>18.234999999999999</v>
      </c>
      <c r="G19" s="24">
        <v>69</v>
      </c>
      <c r="H19" s="24">
        <v>500</v>
      </c>
      <c r="I19" s="72">
        <f t="shared" si="10"/>
        <v>434.78260869565219</v>
      </c>
      <c r="J19" s="101">
        <f t="shared" si="11"/>
        <v>3.4782608695652173</v>
      </c>
      <c r="K19" s="136">
        <f t="shared" si="12"/>
        <v>0.18837047763689235</v>
      </c>
      <c r="L19" s="41"/>
      <c r="M19" s="137">
        <f t="shared" ref="M19:M23" si="17">I19/$I$19</f>
        <v>1</v>
      </c>
      <c r="N19" s="73"/>
      <c r="O19" s="155">
        <f>B19/S$5</f>
        <v>0.66666666666666663</v>
      </c>
      <c r="P19" s="43">
        <f t="shared" ref="P19:P23" si="18">I19*O19</f>
        <v>289.85507246376812</v>
      </c>
      <c r="Z19" s="40">
        <v>100</v>
      </c>
      <c r="AA19" s="40">
        <f t="shared" ref="AA19:AA21" si="19">Z19/400*600</f>
        <v>150</v>
      </c>
    </row>
    <row r="20" spans="1:27" x14ac:dyDescent="0.25">
      <c r="A20" s="74">
        <f t="shared" si="13"/>
        <v>250</v>
      </c>
      <c r="B20" s="74">
        <f t="shared" si="14"/>
        <v>200</v>
      </c>
      <c r="C20" s="43">
        <v>1546</v>
      </c>
      <c r="D20" s="43">
        <v>4</v>
      </c>
      <c r="E20" s="133">
        <f t="shared" si="15"/>
        <v>23.19</v>
      </c>
      <c r="F20" s="100">
        <f t="shared" si="16"/>
        <v>22.96</v>
      </c>
      <c r="G20" s="24">
        <v>74</v>
      </c>
      <c r="H20" s="24">
        <v>500</v>
      </c>
      <c r="I20" s="72">
        <f t="shared" si="10"/>
        <v>405.40540540540542</v>
      </c>
      <c r="J20" s="101">
        <f t="shared" si="11"/>
        <v>8.1081081081081088</v>
      </c>
      <c r="K20" s="136">
        <f t="shared" si="12"/>
        <v>0.34963812454109999</v>
      </c>
      <c r="L20" s="41"/>
      <c r="M20" s="137">
        <f t="shared" si="17"/>
        <v>0.93243243243243246</v>
      </c>
      <c r="N20" s="73"/>
      <c r="O20" s="155">
        <f t="shared" ref="O20:O23" si="20">B20/S$5</f>
        <v>0.66666666666666663</v>
      </c>
      <c r="P20" s="43">
        <f t="shared" si="18"/>
        <v>270.27027027027026</v>
      </c>
      <c r="Z20" s="40">
        <v>200</v>
      </c>
      <c r="AA20" s="40">
        <f t="shared" si="19"/>
        <v>300</v>
      </c>
    </row>
    <row r="21" spans="1:27" x14ac:dyDescent="0.25">
      <c r="A21" s="74">
        <f t="shared" si="13"/>
        <v>500</v>
      </c>
      <c r="B21" s="74">
        <f t="shared" si="14"/>
        <v>200</v>
      </c>
      <c r="C21" s="43">
        <v>1909</v>
      </c>
      <c r="D21" s="43">
        <v>4</v>
      </c>
      <c r="E21" s="133">
        <f t="shared" si="15"/>
        <v>28.635000000000002</v>
      </c>
      <c r="F21" s="100">
        <f t="shared" si="16"/>
        <v>28.405000000000001</v>
      </c>
      <c r="G21" s="24">
        <v>81.709999999999994</v>
      </c>
      <c r="H21" s="24">
        <v>500</v>
      </c>
      <c r="I21" s="72">
        <f t="shared" si="10"/>
        <v>367.1521233631135</v>
      </c>
      <c r="J21" s="101">
        <f t="shared" si="11"/>
        <v>14.686084934524542</v>
      </c>
      <c r="K21" s="136">
        <f t="shared" si="12"/>
        <v>0.51287183288020055</v>
      </c>
      <c r="L21" s="41"/>
      <c r="M21" s="137">
        <f t="shared" si="17"/>
        <v>0.84444988373516106</v>
      </c>
      <c r="N21" s="73"/>
      <c r="O21" s="155">
        <f t="shared" si="20"/>
        <v>0.66666666666666663</v>
      </c>
      <c r="P21" s="43">
        <f t="shared" si="18"/>
        <v>244.76808224207565</v>
      </c>
      <c r="Z21" s="40">
        <v>300</v>
      </c>
      <c r="AA21" s="40">
        <f t="shared" si="19"/>
        <v>450</v>
      </c>
    </row>
    <row r="22" spans="1:27" x14ac:dyDescent="0.25">
      <c r="A22" s="74">
        <f t="shared" si="13"/>
        <v>750</v>
      </c>
      <c r="B22" s="74">
        <f t="shared" si="14"/>
        <v>200</v>
      </c>
      <c r="C22" s="43">
        <v>2400</v>
      </c>
      <c r="D22" s="43">
        <v>4</v>
      </c>
      <c r="E22" s="133">
        <f t="shared" si="15"/>
        <v>36</v>
      </c>
      <c r="F22" s="100">
        <f t="shared" si="16"/>
        <v>35.770000000000003</v>
      </c>
      <c r="G22" s="24">
        <v>90</v>
      </c>
      <c r="H22" s="24">
        <v>500</v>
      </c>
      <c r="I22" s="72">
        <f t="shared" si="10"/>
        <v>333.33333333333331</v>
      </c>
      <c r="J22" s="101">
        <f t="shared" si="11"/>
        <v>20</v>
      </c>
      <c r="K22" s="136">
        <f t="shared" si="12"/>
        <v>0.55555555555555558</v>
      </c>
      <c r="L22" s="41"/>
      <c r="M22" s="137">
        <f t="shared" si="17"/>
        <v>0.76666666666666661</v>
      </c>
      <c r="N22" s="73"/>
      <c r="O22" s="155">
        <f t="shared" si="20"/>
        <v>0.66666666666666663</v>
      </c>
      <c r="P22" s="43">
        <f t="shared" si="18"/>
        <v>222.2222222222222</v>
      </c>
      <c r="Z22" s="40">
        <v>400</v>
      </c>
      <c r="AA22" s="40">
        <f>Z22/400*600</f>
        <v>600</v>
      </c>
    </row>
    <row r="23" spans="1:27" x14ac:dyDescent="0.25">
      <c r="A23" s="74">
        <f t="shared" si="13"/>
        <v>1000</v>
      </c>
      <c r="B23" s="74">
        <f t="shared" si="14"/>
        <v>200</v>
      </c>
      <c r="C23" s="43">
        <v>3074</v>
      </c>
      <c r="D23" s="43">
        <v>4</v>
      </c>
      <c r="E23" s="133">
        <f t="shared" si="15"/>
        <v>46.11</v>
      </c>
      <c r="F23" s="100">
        <f t="shared" si="16"/>
        <v>45.88</v>
      </c>
      <c r="G23" s="24">
        <v>102.72</v>
      </c>
      <c r="H23" s="24">
        <v>500</v>
      </c>
      <c r="I23" s="72">
        <f>60*H23/G23</f>
        <v>292.05607476635515</v>
      </c>
      <c r="J23" s="101">
        <f t="shared" si="11"/>
        <v>23.364485981308412</v>
      </c>
      <c r="K23" s="136">
        <f>J23/E23</f>
        <v>0.50671190590562598</v>
      </c>
      <c r="L23" s="41"/>
      <c r="M23" s="137">
        <f t="shared" si="17"/>
        <v>0.67172897196261683</v>
      </c>
      <c r="N23" s="73"/>
      <c r="O23" s="155">
        <f t="shared" si="20"/>
        <v>0.66666666666666663</v>
      </c>
      <c r="P23" s="43">
        <f t="shared" si="18"/>
        <v>194.70404984423675</v>
      </c>
    </row>
    <row r="24" spans="1:27" x14ac:dyDescent="0.25">
      <c r="A24" s="150"/>
      <c r="B24" s="150"/>
      <c r="C24" s="43"/>
      <c r="D24" s="43"/>
      <c r="E24" s="133"/>
      <c r="F24" s="100"/>
      <c r="G24" s="24"/>
      <c r="H24" s="24"/>
      <c r="I24" s="72"/>
      <c r="J24" s="101"/>
      <c r="K24" s="41"/>
      <c r="L24" s="41"/>
      <c r="M24" s="137"/>
      <c r="N24" s="73"/>
      <c r="O24" s="43"/>
      <c r="P24" s="43"/>
    </row>
    <row r="25" spans="1:27" x14ac:dyDescent="0.25">
      <c r="A25" s="150">
        <f>Q3</f>
        <v>0</v>
      </c>
      <c r="B25" s="150">
        <f>P$5</f>
        <v>400</v>
      </c>
      <c r="C25" s="43">
        <v>397</v>
      </c>
      <c r="D25" s="43">
        <v>1</v>
      </c>
      <c r="E25" s="133">
        <f>60/D25*C25/1000</f>
        <v>23.82</v>
      </c>
      <c r="F25" s="100">
        <f>E25-$J$7</f>
        <v>23.59</v>
      </c>
      <c r="G25" s="24">
        <v>66.38</v>
      </c>
      <c r="H25" s="24">
        <v>800</v>
      </c>
      <c r="I25" s="72">
        <f t="shared" ref="I25:I30" si="21">60*H25/G25</f>
        <v>723.1093702922567</v>
      </c>
      <c r="J25" s="101">
        <f t="shared" ref="J25:J30" si="22">I25/100*A25/100*0.8</f>
        <v>0</v>
      </c>
      <c r="K25" s="136">
        <f t="shared" ref="K25:K29" si="23">J25/E25</f>
        <v>0</v>
      </c>
      <c r="L25" s="41"/>
      <c r="M25" s="137"/>
      <c r="N25" s="73"/>
      <c r="O25" s="43"/>
      <c r="P25" s="43"/>
      <c r="Q25" s="69"/>
      <c r="R25" s="70"/>
      <c r="S25" s="70"/>
    </row>
    <row r="26" spans="1:27" x14ac:dyDescent="0.25">
      <c r="A26" s="150">
        <f t="shared" ref="A26:A30" si="24">Q4</f>
        <v>100</v>
      </c>
      <c r="B26" s="150">
        <f t="shared" ref="B26:B30" si="25">P$5</f>
        <v>400</v>
      </c>
      <c r="C26" s="43">
        <v>570</v>
      </c>
      <c r="D26" s="43">
        <v>1</v>
      </c>
      <c r="E26" s="133">
        <f t="shared" ref="E26:E30" si="26">60/D26*C26/1000</f>
        <v>34.200000000000003</v>
      </c>
      <c r="F26" s="100">
        <f t="shared" ref="F26:F30" si="27">E26-$J$7</f>
        <v>33.970000000000006</v>
      </c>
      <c r="G26" s="24">
        <v>68.88</v>
      </c>
      <c r="H26" s="24">
        <v>800</v>
      </c>
      <c r="I26" s="72">
        <f t="shared" si="21"/>
        <v>696.8641114982579</v>
      </c>
      <c r="J26" s="101">
        <f t="shared" si="22"/>
        <v>5.5749128919860631</v>
      </c>
      <c r="K26" s="136">
        <f t="shared" si="23"/>
        <v>0.16300914888848136</v>
      </c>
      <c r="L26" s="41"/>
      <c r="M26" s="137">
        <f>I26/$I$26</f>
        <v>1</v>
      </c>
      <c r="N26" s="73"/>
      <c r="O26" s="43"/>
      <c r="P26" s="43"/>
      <c r="Z26" s="40">
        <v>100</v>
      </c>
      <c r="AA26" s="40">
        <f t="shared" ref="AA26:AA28" si="28">Z26/400*600</f>
        <v>150</v>
      </c>
    </row>
    <row r="27" spans="1:27" x14ac:dyDescent="0.25">
      <c r="A27" s="150">
        <f t="shared" si="24"/>
        <v>250</v>
      </c>
      <c r="B27" s="150">
        <f t="shared" si="25"/>
        <v>400</v>
      </c>
      <c r="C27" s="43">
        <v>744</v>
      </c>
      <c r="D27" s="43">
        <v>1</v>
      </c>
      <c r="E27" s="133">
        <f t="shared" si="26"/>
        <v>44.64</v>
      </c>
      <c r="F27" s="100">
        <f t="shared" si="27"/>
        <v>44.410000000000004</v>
      </c>
      <c r="G27" s="24">
        <v>75.62</v>
      </c>
      <c r="H27" s="24">
        <v>800</v>
      </c>
      <c r="I27" s="72">
        <f t="shared" si="21"/>
        <v>634.75271092303615</v>
      </c>
      <c r="J27" s="101">
        <f t="shared" si="22"/>
        <v>12.695054218460722</v>
      </c>
      <c r="K27" s="136">
        <f t="shared" si="23"/>
        <v>0.28438741528809863</v>
      </c>
      <c r="L27" s="41"/>
      <c r="M27" s="137">
        <f t="shared" ref="M27:M30" si="29">I27/$I$26</f>
        <v>0.91087014017455681</v>
      </c>
      <c r="N27" s="73"/>
      <c r="O27" s="43"/>
      <c r="P27" s="43"/>
      <c r="Z27" s="40">
        <v>200</v>
      </c>
      <c r="AA27" s="40">
        <f t="shared" si="28"/>
        <v>300</v>
      </c>
    </row>
    <row r="28" spans="1:27" x14ac:dyDescent="0.25">
      <c r="A28" s="150">
        <f t="shared" si="24"/>
        <v>500</v>
      </c>
      <c r="B28" s="150">
        <f t="shared" si="25"/>
        <v>400</v>
      </c>
      <c r="C28" s="43">
        <v>997</v>
      </c>
      <c r="D28" s="43">
        <v>1</v>
      </c>
      <c r="E28" s="133">
        <f t="shared" si="26"/>
        <v>59.82</v>
      </c>
      <c r="F28" s="100">
        <f t="shared" si="27"/>
        <v>59.59</v>
      </c>
      <c r="G28" s="24">
        <v>88.59</v>
      </c>
      <c r="H28" s="24">
        <v>800</v>
      </c>
      <c r="I28" s="72">
        <f t="shared" si="21"/>
        <v>541.82187605824583</v>
      </c>
      <c r="J28" s="101">
        <f t="shared" si="22"/>
        <v>21.672875042329835</v>
      </c>
      <c r="K28" s="136">
        <f t="shared" si="23"/>
        <v>0.36230148850434363</v>
      </c>
      <c r="L28" s="41"/>
      <c r="M28" s="137">
        <f t="shared" si="29"/>
        <v>0.77751439214358276</v>
      </c>
      <c r="N28" s="73"/>
      <c r="O28" s="43"/>
      <c r="P28" s="43"/>
      <c r="Z28" s="40">
        <v>300</v>
      </c>
      <c r="AA28" s="40">
        <f t="shared" si="28"/>
        <v>450</v>
      </c>
    </row>
    <row r="29" spans="1:27" x14ac:dyDescent="0.25">
      <c r="A29" s="150">
        <f t="shared" si="24"/>
        <v>750</v>
      </c>
      <c r="B29" s="150">
        <f t="shared" si="25"/>
        <v>400</v>
      </c>
      <c r="C29" s="43">
        <v>1125</v>
      </c>
      <c r="D29" s="43">
        <v>1</v>
      </c>
      <c r="E29" s="133">
        <f t="shared" si="26"/>
        <v>67.5</v>
      </c>
      <c r="F29" s="100">
        <f t="shared" si="27"/>
        <v>67.27</v>
      </c>
      <c r="G29" s="24">
        <v>99.93</v>
      </c>
      <c r="H29" s="24">
        <v>800</v>
      </c>
      <c r="I29" s="72">
        <f t="shared" si="21"/>
        <v>480.33623536475528</v>
      </c>
      <c r="J29" s="101">
        <f t="shared" si="22"/>
        <v>28.820174121885316</v>
      </c>
      <c r="K29" s="136">
        <f t="shared" si="23"/>
        <v>0.42696554254644914</v>
      </c>
      <c r="L29" s="41"/>
      <c r="M29" s="137">
        <f t="shared" si="29"/>
        <v>0.68928249774842376</v>
      </c>
      <c r="N29" s="73"/>
      <c r="O29" s="43"/>
      <c r="P29" s="43"/>
      <c r="Z29" s="40">
        <v>400</v>
      </c>
      <c r="AA29" s="40">
        <f>Z29/400*600</f>
        <v>600</v>
      </c>
    </row>
    <row r="30" spans="1:27" x14ac:dyDescent="0.25">
      <c r="A30" s="150">
        <f t="shared" si="24"/>
        <v>1000</v>
      </c>
      <c r="B30" s="150">
        <f t="shared" si="25"/>
        <v>400</v>
      </c>
      <c r="C30" s="43">
        <v>1477</v>
      </c>
      <c r="D30" s="43">
        <v>1</v>
      </c>
      <c r="E30" s="133">
        <f t="shared" si="26"/>
        <v>88.62</v>
      </c>
      <c r="F30" s="100">
        <f t="shared" si="27"/>
        <v>88.39</v>
      </c>
      <c r="G30" s="24">
        <v>109.72</v>
      </c>
      <c r="H30" s="24">
        <v>800</v>
      </c>
      <c r="I30" s="72">
        <f t="shared" si="21"/>
        <v>437.47721472839959</v>
      </c>
      <c r="J30" s="101">
        <f t="shared" si="22"/>
        <v>34.998177178271966</v>
      </c>
      <c r="K30" s="136">
        <f>J30/E30</f>
        <v>0.39492413877535504</v>
      </c>
      <c r="L30" s="41"/>
      <c r="M30" s="137">
        <f t="shared" si="29"/>
        <v>0.62777980313525339</v>
      </c>
      <c r="N30" s="73"/>
      <c r="O30" s="43"/>
      <c r="P30" s="43"/>
    </row>
    <row r="31" spans="1:27" x14ac:dyDescent="0.25">
      <c r="A31" s="74"/>
      <c r="B31" s="150"/>
      <c r="C31" s="43"/>
      <c r="D31" s="43"/>
      <c r="E31" s="133"/>
      <c r="F31" s="100"/>
      <c r="G31" s="24"/>
      <c r="H31" s="24"/>
      <c r="I31" s="72"/>
      <c r="J31" s="101"/>
      <c r="K31" s="41"/>
      <c r="L31" s="41"/>
      <c r="M31" s="137"/>
      <c r="N31" s="73"/>
      <c r="O31" s="43"/>
      <c r="P31" s="43"/>
    </row>
    <row r="32" spans="1:27" x14ac:dyDescent="0.25">
      <c r="A32" s="150">
        <f>Q3</f>
        <v>0</v>
      </c>
      <c r="B32" s="150">
        <f>P$6</f>
        <v>600</v>
      </c>
      <c r="C32" s="43">
        <v>608</v>
      </c>
      <c r="D32" s="43">
        <v>1</v>
      </c>
      <c r="E32" s="133">
        <f>60/D32*C32/1000</f>
        <v>36.479999999999997</v>
      </c>
      <c r="F32" s="100">
        <f>E32-$J$7</f>
        <v>36.25</v>
      </c>
      <c r="G32" s="24">
        <v>61.75</v>
      </c>
      <c r="H32" s="24">
        <v>1200</v>
      </c>
      <c r="I32" s="72">
        <f t="shared" ref="I32:I37" si="30">60*H32/G32</f>
        <v>1165.991902834008</v>
      </c>
      <c r="J32" s="101">
        <f t="shared" ref="J32:J37" si="31">I32/100*A32/100*0.8</f>
        <v>0</v>
      </c>
      <c r="K32" s="136">
        <f t="shared" ref="K32:K36" si="32">J32/E32</f>
        <v>0</v>
      </c>
      <c r="L32" s="41"/>
      <c r="M32" s="137"/>
      <c r="N32" s="73"/>
      <c r="O32" s="43"/>
      <c r="P32" s="43"/>
      <c r="Q32" s="69"/>
      <c r="R32" s="70"/>
      <c r="S32" s="70"/>
    </row>
    <row r="33" spans="1:27" x14ac:dyDescent="0.25">
      <c r="A33" s="150">
        <f t="shared" ref="A33:A37" si="33">Q4</f>
        <v>100</v>
      </c>
      <c r="B33" s="150">
        <f t="shared" ref="B33:B37" si="34">P$6</f>
        <v>600</v>
      </c>
      <c r="C33" s="43">
        <v>877</v>
      </c>
      <c r="D33" s="43">
        <v>1</v>
      </c>
      <c r="E33" s="133">
        <f t="shared" ref="E33:E37" si="35">60/D33*C33/1000</f>
        <v>52.62</v>
      </c>
      <c r="F33" s="100">
        <f t="shared" ref="F33:F37" si="36">E33-$J$7</f>
        <v>52.39</v>
      </c>
      <c r="G33" s="24">
        <v>69.88</v>
      </c>
      <c r="H33" s="24">
        <v>1200</v>
      </c>
      <c r="I33" s="72">
        <f t="shared" si="30"/>
        <v>1030.3377218088151</v>
      </c>
      <c r="J33" s="101">
        <f t="shared" si="31"/>
        <v>8.2427017744705218</v>
      </c>
      <c r="K33" s="136">
        <f t="shared" si="32"/>
        <v>0.15664579579001373</v>
      </c>
      <c r="L33" s="41"/>
      <c r="M33" s="137">
        <f>I33/$I$33</f>
        <v>1</v>
      </c>
      <c r="N33" s="73"/>
      <c r="O33" s="43"/>
      <c r="P33" s="43"/>
      <c r="Z33" s="40">
        <v>100</v>
      </c>
      <c r="AA33" s="40">
        <f t="shared" ref="AA33:AA35" si="37">Z33/400*600</f>
        <v>150</v>
      </c>
    </row>
    <row r="34" spans="1:27" x14ac:dyDescent="0.25">
      <c r="A34" s="150">
        <f t="shared" si="33"/>
        <v>250</v>
      </c>
      <c r="B34" s="150">
        <f t="shared" si="34"/>
        <v>600</v>
      </c>
      <c r="C34" s="43">
        <v>1076</v>
      </c>
      <c r="D34" s="43">
        <v>1</v>
      </c>
      <c r="E34" s="133">
        <f t="shared" si="35"/>
        <v>64.56</v>
      </c>
      <c r="F34" s="100">
        <f t="shared" si="36"/>
        <v>64.33</v>
      </c>
      <c r="G34" s="24">
        <v>75.48</v>
      </c>
      <c r="H34" s="24">
        <v>1200</v>
      </c>
      <c r="I34" s="72">
        <f t="shared" si="30"/>
        <v>953.89507154213027</v>
      </c>
      <c r="J34" s="101">
        <f t="shared" si="31"/>
        <v>19.077901430842605</v>
      </c>
      <c r="K34" s="136">
        <f t="shared" si="32"/>
        <v>0.29550652773919772</v>
      </c>
      <c r="L34" s="41"/>
      <c r="M34" s="137">
        <f t="shared" ref="M34:M37" si="38">I34/$I$33</f>
        <v>0.9258081611022787</v>
      </c>
      <c r="N34" s="73"/>
      <c r="O34" s="43"/>
      <c r="P34" s="43"/>
      <c r="Z34" s="40">
        <v>200</v>
      </c>
      <c r="AA34" s="40">
        <f t="shared" si="37"/>
        <v>300</v>
      </c>
    </row>
    <row r="35" spans="1:27" x14ac:dyDescent="0.25">
      <c r="A35" s="150">
        <f t="shared" si="33"/>
        <v>500</v>
      </c>
      <c r="B35" s="150">
        <f t="shared" si="34"/>
        <v>600</v>
      </c>
      <c r="C35" s="43">
        <v>1242</v>
      </c>
      <c r="D35" s="43">
        <v>1</v>
      </c>
      <c r="E35" s="133">
        <f t="shared" si="35"/>
        <v>74.52</v>
      </c>
      <c r="F35" s="100">
        <f t="shared" si="36"/>
        <v>74.289999999999992</v>
      </c>
      <c r="G35" s="24">
        <v>80.62</v>
      </c>
      <c r="H35" s="24">
        <v>1200</v>
      </c>
      <c r="I35" s="72">
        <f t="shared" si="30"/>
        <v>893.07864053584717</v>
      </c>
      <c r="J35" s="101">
        <f t="shared" si="31"/>
        <v>35.723145621433886</v>
      </c>
      <c r="K35" s="136">
        <f t="shared" si="32"/>
        <v>0.47937661864511388</v>
      </c>
      <c r="L35" s="41"/>
      <c r="M35" s="137">
        <f t="shared" si="38"/>
        <v>0.86678243612006944</v>
      </c>
      <c r="N35" s="73"/>
      <c r="O35" s="43"/>
      <c r="P35" s="43"/>
      <c r="Z35" s="40">
        <v>300</v>
      </c>
      <c r="AA35" s="40">
        <f t="shared" si="37"/>
        <v>450</v>
      </c>
    </row>
    <row r="36" spans="1:27" x14ac:dyDescent="0.25">
      <c r="A36" s="150">
        <f t="shared" si="33"/>
        <v>750</v>
      </c>
      <c r="B36" s="150">
        <f t="shared" si="34"/>
        <v>600</v>
      </c>
      <c r="C36" s="43">
        <v>1558</v>
      </c>
      <c r="D36" s="43">
        <v>1</v>
      </c>
      <c r="E36" s="133">
        <f t="shared" si="35"/>
        <v>93.48</v>
      </c>
      <c r="F36" s="100">
        <f t="shared" si="36"/>
        <v>93.25</v>
      </c>
      <c r="G36" s="24">
        <v>88.98</v>
      </c>
      <c r="H36" s="24">
        <v>1200</v>
      </c>
      <c r="I36" s="72">
        <f t="shared" si="30"/>
        <v>809.17060013486173</v>
      </c>
      <c r="J36" s="101">
        <f t="shared" si="31"/>
        <v>48.550236008091709</v>
      </c>
      <c r="K36" s="136">
        <f t="shared" si="32"/>
        <v>0.51936495515716419</v>
      </c>
      <c r="L36" s="41"/>
      <c r="M36" s="137">
        <f t="shared" si="38"/>
        <v>0.78534502135311302</v>
      </c>
      <c r="N36" s="73"/>
      <c r="O36" s="43"/>
      <c r="P36" s="43"/>
      <c r="Z36" s="40">
        <v>400</v>
      </c>
      <c r="AA36" s="40">
        <f>Z36/400*600</f>
        <v>600</v>
      </c>
    </row>
    <row r="37" spans="1:27" x14ac:dyDescent="0.25">
      <c r="A37" s="150">
        <f t="shared" si="33"/>
        <v>1000</v>
      </c>
      <c r="B37" s="150">
        <f t="shared" si="34"/>
        <v>600</v>
      </c>
      <c r="C37" s="43">
        <v>2003</v>
      </c>
      <c r="D37" s="43">
        <v>1</v>
      </c>
      <c r="E37" s="133">
        <f t="shared" si="35"/>
        <v>120.18</v>
      </c>
      <c r="F37" s="100">
        <f t="shared" si="36"/>
        <v>119.95</v>
      </c>
      <c r="G37" s="24">
        <v>100.06</v>
      </c>
      <c r="H37" s="24">
        <v>1200</v>
      </c>
      <c r="I37" s="72">
        <f t="shared" si="30"/>
        <v>719.56825904457321</v>
      </c>
      <c r="J37" s="101">
        <f t="shared" si="31"/>
        <v>57.565460723565856</v>
      </c>
      <c r="K37" s="136">
        <f>J37/E37</f>
        <v>0.47899368217312244</v>
      </c>
      <c r="L37" s="41"/>
      <c r="M37" s="137">
        <f t="shared" si="38"/>
        <v>0.69838097141714972</v>
      </c>
      <c r="N37" s="73"/>
      <c r="O37" s="43"/>
      <c r="P37" s="43"/>
    </row>
    <row r="38" spans="1:27" x14ac:dyDescent="0.25">
      <c r="A38" s="150"/>
      <c r="B38" s="150"/>
      <c r="C38" s="43"/>
      <c r="D38" s="43"/>
      <c r="E38" s="133"/>
      <c r="F38" s="100"/>
      <c r="G38" s="24"/>
      <c r="H38" s="24"/>
      <c r="I38" s="72"/>
      <c r="J38" s="101"/>
      <c r="K38" s="41"/>
      <c r="L38" s="41"/>
      <c r="M38" s="137"/>
      <c r="N38" s="73"/>
      <c r="O38" s="43"/>
      <c r="P38" s="43"/>
    </row>
    <row r="39" spans="1:27" x14ac:dyDescent="0.25">
      <c r="A39" s="150">
        <f>Q3</f>
        <v>0</v>
      </c>
      <c r="B39" s="150">
        <f>P$7</f>
        <v>800</v>
      </c>
      <c r="C39" s="43">
        <v>892</v>
      </c>
      <c r="D39" s="43">
        <v>1</v>
      </c>
      <c r="E39" s="133">
        <f>60/D39*C39/1000</f>
        <v>53.52</v>
      </c>
      <c r="F39" s="100">
        <f>E39-$J$7</f>
        <v>53.290000000000006</v>
      </c>
      <c r="G39" s="24">
        <v>41.43</v>
      </c>
      <c r="H39" s="24">
        <v>1100</v>
      </c>
      <c r="I39" s="72">
        <f t="shared" ref="I39:I44" si="39">60*H39/G39</f>
        <v>1593.0485155684287</v>
      </c>
      <c r="J39" s="101">
        <f t="shared" ref="J39:J44" si="40">I39/100*A39/100*0.8</f>
        <v>0</v>
      </c>
      <c r="K39" s="136">
        <f t="shared" ref="K39:K43" si="41">J39/E39</f>
        <v>0</v>
      </c>
      <c r="L39" s="41"/>
      <c r="M39" s="137"/>
      <c r="N39" s="73"/>
      <c r="O39" s="43"/>
      <c r="P39" s="43"/>
      <c r="Q39" s="69"/>
      <c r="R39" s="70"/>
      <c r="S39" s="70"/>
    </row>
    <row r="40" spans="1:27" x14ac:dyDescent="0.25">
      <c r="A40" s="150">
        <f t="shared" ref="A40:A44" si="42">Q4</f>
        <v>100</v>
      </c>
      <c r="B40" s="150">
        <f t="shared" ref="B40:B44" si="43">P$7</f>
        <v>800</v>
      </c>
      <c r="C40" s="43">
        <v>1190</v>
      </c>
      <c r="D40" s="43">
        <v>1</v>
      </c>
      <c r="E40" s="133">
        <f t="shared" ref="E40:E44" si="44">60/D40*C40/1000</f>
        <v>71.400000000000006</v>
      </c>
      <c r="F40" s="100">
        <f t="shared" ref="F40:F44" si="45">E40-$J$7</f>
        <v>71.17</v>
      </c>
      <c r="G40" s="24">
        <v>45.05</v>
      </c>
      <c r="H40" s="24">
        <v>1100</v>
      </c>
      <c r="I40" s="72">
        <f t="shared" si="39"/>
        <v>1465.0388457269701</v>
      </c>
      <c r="J40" s="101">
        <f t="shared" si="40"/>
        <v>11.720310765815761</v>
      </c>
      <c r="K40" s="136">
        <f t="shared" si="41"/>
        <v>0.16415001072571092</v>
      </c>
      <c r="L40" s="41"/>
      <c r="M40" s="137">
        <f>I40/$I$40</f>
        <v>1</v>
      </c>
      <c r="N40" s="73"/>
      <c r="O40" s="43"/>
      <c r="P40" s="43"/>
      <c r="Z40" s="40">
        <v>100</v>
      </c>
      <c r="AA40" s="40">
        <f t="shared" ref="AA40:AA42" si="46">Z40/400*600</f>
        <v>150</v>
      </c>
    </row>
    <row r="41" spans="1:27" x14ac:dyDescent="0.25">
      <c r="A41" s="150">
        <f t="shared" si="42"/>
        <v>250</v>
      </c>
      <c r="B41" s="150">
        <f t="shared" si="43"/>
        <v>800</v>
      </c>
      <c r="C41" s="43">
        <v>1492</v>
      </c>
      <c r="D41" s="43">
        <v>1</v>
      </c>
      <c r="E41" s="133">
        <f t="shared" si="44"/>
        <v>89.52</v>
      </c>
      <c r="F41" s="100">
        <f t="shared" si="45"/>
        <v>89.289999999999992</v>
      </c>
      <c r="G41" s="24">
        <v>48.34</v>
      </c>
      <c r="H41" s="24">
        <v>1100</v>
      </c>
      <c r="I41" s="72">
        <f t="shared" si="39"/>
        <v>1365.3289201489449</v>
      </c>
      <c r="J41" s="101">
        <f t="shared" si="40"/>
        <v>27.3065784029789</v>
      </c>
      <c r="K41" s="136">
        <f t="shared" si="41"/>
        <v>0.30503327081075626</v>
      </c>
      <c r="L41" s="41"/>
      <c r="M41" s="137">
        <f t="shared" ref="M41:M44" si="47">I41/$I$40</f>
        <v>0.93194042201075711</v>
      </c>
      <c r="N41" s="73"/>
      <c r="O41" s="43"/>
      <c r="P41" s="43"/>
      <c r="Z41" s="40">
        <v>200</v>
      </c>
      <c r="AA41" s="40">
        <f t="shared" si="46"/>
        <v>300</v>
      </c>
    </row>
    <row r="42" spans="1:27" x14ac:dyDescent="0.25">
      <c r="A42" s="150">
        <f t="shared" si="42"/>
        <v>500</v>
      </c>
      <c r="B42" s="150">
        <f t="shared" si="43"/>
        <v>800</v>
      </c>
      <c r="C42" s="43">
        <v>1731</v>
      </c>
      <c r="D42" s="43">
        <v>1</v>
      </c>
      <c r="E42" s="133">
        <f t="shared" si="44"/>
        <v>103.86</v>
      </c>
      <c r="F42" s="100">
        <f t="shared" si="45"/>
        <v>103.63</v>
      </c>
      <c r="G42" s="24">
        <v>51.91</v>
      </c>
      <c r="H42" s="24">
        <v>1100</v>
      </c>
      <c r="I42" s="72">
        <f t="shared" si="39"/>
        <v>1271.431323444423</v>
      </c>
      <c r="J42" s="101">
        <f t="shared" si="40"/>
        <v>50.85725293777692</v>
      </c>
      <c r="K42" s="136">
        <f t="shared" si="41"/>
        <v>0.48967122027514848</v>
      </c>
      <c r="L42" s="41"/>
      <c r="M42" s="137">
        <f t="shared" si="47"/>
        <v>0.86784819880562514</v>
      </c>
      <c r="N42" s="73"/>
      <c r="O42" s="43"/>
      <c r="P42" s="43"/>
      <c r="Z42" s="40">
        <v>300</v>
      </c>
      <c r="AA42" s="40">
        <f t="shared" si="46"/>
        <v>450</v>
      </c>
    </row>
    <row r="43" spans="1:27" x14ac:dyDescent="0.25">
      <c r="A43" s="150">
        <f t="shared" si="42"/>
        <v>750</v>
      </c>
      <c r="B43" s="150">
        <f t="shared" si="43"/>
        <v>800</v>
      </c>
      <c r="C43" s="43">
        <v>2062</v>
      </c>
      <c r="D43" s="43">
        <v>1</v>
      </c>
      <c r="E43" s="133">
        <f t="shared" si="44"/>
        <v>123.72</v>
      </c>
      <c r="F43" s="100">
        <f t="shared" si="45"/>
        <v>123.49</v>
      </c>
      <c r="G43" s="24">
        <v>57.09</v>
      </c>
      <c r="H43" s="24">
        <v>1100</v>
      </c>
      <c r="I43" s="72">
        <f t="shared" si="39"/>
        <v>1156.0693641618495</v>
      </c>
      <c r="J43" s="101">
        <f t="shared" si="40"/>
        <v>69.364161849710982</v>
      </c>
      <c r="K43" s="136">
        <f t="shared" si="41"/>
        <v>0.56065439581079035</v>
      </c>
      <c r="L43" s="41"/>
      <c r="M43" s="137">
        <f t="shared" si="47"/>
        <v>0.78910492205289884</v>
      </c>
      <c r="N43" s="73"/>
      <c r="O43" s="43"/>
      <c r="P43" s="43"/>
      <c r="Z43" s="40">
        <v>400</v>
      </c>
      <c r="AA43" s="40">
        <f>Z43/400*600</f>
        <v>600</v>
      </c>
    </row>
    <row r="44" spans="1:27" x14ac:dyDescent="0.25">
      <c r="A44" s="150">
        <f t="shared" si="42"/>
        <v>1000</v>
      </c>
      <c r="B44" s="150">
        <f t="shared" si="43"/>
        <v>800</v>
      </c>
      <c r="C44" s="43">
        <v>2512</v>
      </c>
      <c r="D44" s="43">
        <f>63/60</f>
        <v>1.05</v>
      </c>
      <c r="E44" s="133">
        <f t="shared" si="44"/>
        <v>143.54285714285714</v>
      </c>
      <c r="F44" s="100">
        <f t="shared" si="45"/>
        <v>143.31285714285715</v>
      </c>
      <c r="G44" s="24">
        <v>64.42</v>
      </c>
      <c r="H44" s="24">
        <v>1100</v>
      </c>
      <c r="I44" s="72">
        <f t="shared" si="39"/>
        <v>1024.5265445513814</v>
      </c>
      <c r="J44" s="101">
        <f t="shared" si="40"/>
        <v>81.962123564110527</v>
      </c>
      <c r="K44" s="136">
        <f>J44/E44</f>
        <v>0.57099409330092921</v>
      </c>
      <c r="L44" s="41"/>
      <c r="M44" s="137">
        <f t="shared" si="47"/>
        <v>0.69931698230363237</v>
      </c>
      <c r="N44" s="73"/>
      <c r="O44" s="43"/>
      <c r="P44" s="43"/>
    </row>
    <row r="45" spans="1:27" x14ac:dyDescent="0.25">
      <c r="A45" s="74"/>
      <c r="B45" s="150"/>
      <c r="C45" s="43"/>
      <c r="D45" s="43"/>
      <c r="E45" s="133"/>
      <c r="F45" s="100"/>
      <c r="G45" s="24"/>
      <c r="H45" s="24"/>
      <c r="I45" s="72"/>
      <c r="J45" s="101"/>
      <c r="K45" s="41"/>
      <c r="L45" s="41"/>
      <c r="M45" s="137"/>
      <c r="N45" s="73"/>
      <c r="O45" s="43"/>
      <c r="P45" s="43"/>
    </row>
    <row r="46" spans="1:27" x14ac:dyDescent="0.25">
      <c r="A46" s="150">
        <f>Q3</f>
        <v>0</v>
      </c>
      <c r="B46" s="150">
        <f>P$8</f>
        <v>1000</v>
      </c>
      <c r="C46" s="43">
        <v>1176</v>
      </c>
      <c r="D46" s="93">
        <v>1</v>
      </c>
      <c r="E46" s="133">
        <f>60/D46*C46/1000</f>
        <v>70.56</v>
      </c>
      <c r="F46" s="100">
        <f>E46-$J$7</f>
        <v>70.33</v>
      </c>
      <c r="G46" s="24">
        <v>47</v>
      </c>
      <c r="H46" s="24">
        <v>1600</v>
      </c>
      <c r="I46" s="72">
        <f t="shared" ref="I46:I51" si="48">60*H46/G46</f>
        <v>2042.5531914893618</v>
      </c>
      <c r="J46" s="101">
        <f t="shared" ref="J46:J51" si="49">I46/100*A46/100*0.8</f>
        <v>0</v>
      </c>
      <c r="K46" s="136">
        <f t="shared" ref="K46:K50" si="50">J46/E46</f>
        <v>0</v>
      </c>
      <c r="L46" s="41"/>
      <c r="M46" s="137"/>
      <c r="N46" s="73"/>
      <c r="O46" s="43"/>
      <c r="P46" s="43"/>
      <c r="Q46" s="69"/>
      <c r="R46" s="70"/>
      <c r="S46" s="70"/>
    </row>
    <row r="47" spans="1:27" x14ac:dyDescent="0.25">
      <c r="A47" s="150">
        <f t="shared" ref="A47:A51" si="51">Q4</f>
        <v>100</v>
      </c>
      <c r="B47" s="150">
        <f t="shared" ref="B47:B51" si="52">P$8</f>
        <v>1000</v>
      </c>
      <c r="C47" s="43">
        <v>1572</v>
      </c>
      <c r="D47" s="93">
        <v>1</v>
      </c>
      <c r="E47" s="133">
        <f t="shared" ref="E47:E51" si="53">60/D47*C47/1000</f>
        <v>94.32</v>
      </c>
      <c r="F47" s="100">
        <f t="shared" ref="F47:F51" si="54">E47-$J$7</f>
        <v>94.089999999999989</v>
      </c>
      <c r="G47" s="24">
        <v>51.2</v>
      </c>
      <c r="H47" s="24">
        <v>1600</v>
      </c>
      <c r="I47" s="72">
        <f t="shared" si="48"/>
        <v>1875</v>
      </c>
      <c r="J47" s="101">
        <f t="shared" si="49"/>
        <v>15</v>
      </c>
      <c r="K47" s="136">
        <f t="shared" si="50"/>
        <v>0.15903307888040713</v>
      </c>
      <c r="L47" s="41"/>
      <c r="M47" s="137">
        <f>I47/$I$47</f>
        <v>1</v>
      </c>
      <c r="N47" s="73"/>
      <c r="O47" s="43"/>
      <c r="P47" s="43"/>
      <c r="Z47" s="40">
        <v>100</v>
      </c>
      <c r="AA47" s="40">
        <f t="shared" ref="AA47:AA49" si="55">Z47/400*600</f>
        <v>150</v>
      </c>
    </row>
    <row r="48" spans="1:27" x14ac:dyDescent="0.25">
      <c r="A48" s="150">
        <f t="shared" si="51"/>
        <v>250</v>
      </c>
      <c r="B48" s="150">
        <f t="shared" si="52"/>
        <v>1000</v>
      </c>
      <c r="C48" s="43">
        <v>1944</v>
      </c>
      <c r="D48" s="93">
        <v>1</v>
      </c>
      <c r="E48" s="133">
        <f t="shared" si="53"/>
        <v>116.64</v>
      </c>
      <c r="F48" s="100">
        <f t="shared" si="54"/>
        <v>116.41</v>
      </c>
      <c r="G48" s="24">
        <v>54.56</v>
      </c>
      <c r="H48" s="24">
        <v>1600</v>
      </c>
      <c r="I48" s="72">
        <f t="shared" si="48"/>
        <v>1759.5307917888563</v>
      </c>
      <c r="J48" s="101">
        <f t="shared" si="49"/>
        <v>35.190615835777116</v>
      </c>
      <c r="K48" s="136">
        <f t="shared" si="50"/>
        <v>0.30170281066338406</v>
      </c>
      <c r="L48" s="41"/>
      <c r="M48" s="137">
        <f t="shared" ref="M48:M51" si="56">I48/$I$47</f>
        <v>0.93841642228738997</v>
      </c>
      <c r="N48" s="73"/>
      <c r="O48" s="43"/>
      <c r="P48" s="43"/>
      <c r="Z48" s="40">
        <v>200</v>
      </c>
      <c r="AA48" s="40">
        <f t="shared" si="55"/>
        <v>300</v>
      </c>
    </row>
    <row r="49" spans="1:27" x14ac:dyDescent="0.25">
      <c r="A49" s="150">
        <f t="shared" si="51"/>
        <v>500</v>
      </c>
      <c r="B49" s="150">
        <f t="shared" si="52"/>
        <v>1000</v>
      </c>
      <c r="C49" s="43">
        <v>2302</v>
      </c>
      <c r="D49" s="93">
        <v>1</v>
      </c>
      <c r="E49" s="133">
        <f t="shared" si="53"/>
        <v>138.12</v>
      </c>
      <c r="F49" s="100">
        <f t="shared" si="54"/>
        <v>137.89000000000001</v>
      </c>
      <c r="G49" s="24">
        <v>57.55</v>
      </c>
      <c r="H49" s="24">
        <v>1600</v>
      </c>
      <c r="I49" s="72">
        <f t="shared" si="48"/>
        <v>1668.1146828844485</v>
      </c>
      <c r="J49" s="101">
        <f t="shared" si="49"/>
        <v>66.724587315377946</v>
      </c>
      <c r="K49" s="136">
        <f t="shared" si="50"/>
        <v>0.48309142278727152</v>
      </c>
      <c r="L49" s="41"/>
      <c r="M49" s="137">
        <f t="shared" si="56"/>
        <v>0.88966116420503916</v>
      </c>
      <c r="N49" s="73"/>
      <c r="O49" s="43"/>
      <c r="P49" s="43"/>
      <c r="Z49" s="40">
        <v>300</v>
      </c>
      <c r="AA49" s="40">
        <f t="shared" si="55"/>
        <v>450</v>
      </c>
    </row>
    <row r="50" spans="1:27" x14ac:dyDescent="0.25">
      <c r="A50" s="150">
        <f t="shared" si="51"/>
        <v>750</v>
      </c>
      <c r="B50" s="150">
        <f t="shared" si="52"/>
        <v>1000</v>
      </c>
      <c r="C50" s="43">
        <v>2908</v>
      </c>
      <c r="D50" s="93">
        <f>63/60</f>
        <v>1.05</v>
      </c>
      <c r="E50" s="133">
        <f t="shared" si="53"/>
        <v>166.17142857142855</v>
      </c>
      <c r="F50" s="100">
        <f t="shared" si="54"/>
        <v>165.94142857142856</v>
      </c>
      <c r="G50" s="24">
        <v>65.62</v>
      </c>
      <c r="H50" s="24">
        <v>1600</v>
      </c>
      <c r="I50" s="72">
        <f t="shared" si="48"/>
        <v>1462.9686071319718</v>
      </c>
      <c r="J50" s="101">
        <f t="shared" si="49"/>
        <v>87.778116427918306</v>
      </c>
      <c r="K50" s="136">
        <f t="shared" si="50"/>
        <v>0.5282383210070738</v>
      </c>
      <c r="L50" s="41"/>
      <c r="M50" s="137">
        <f t="shared" si="56"/>
        <v>0.78024992380371827</v>
      </c>
      <c r="N50" s="73"/>
      <c r="O50" s="43"/>
      <c r="P50" s="43"/>
      <c r="Z50" s="40">
        <v>400</v>
      </c>
      <c r="AA50" s="40">
        <f>Z50/400*600</f>
        <v>600</v>
      </c>
    </row>
    <row r="51" spans="1:27" x14ac:dyDescent="0.25">
      <c r="A51" s="150">
        <f t="shared" si="51"/>
        <v>1000</v>
      </c>
      <c r="B51" s="150">
        <f t="shared" si="52"/>
        <v>1000</v>
      </c>
      <c r="C51" s="43">
        <v>3184</v>
      </c>
      <c r="D51" s="93">
        <v>1</v>
      </c>
      <c r="E51" s="133">
        <f t="shared" si="53"/>
        <v>191.04</v>
      </c>
      <c r="F51" s="100">
        <f t="shared" si="54"/>
        <v>190.81</v>
      </c>
      <c r="G51" s="24">
        <v>72.95</v>
      </c>
      <c r="H51" s="24">
        <v>1600</v>
      </c>
      <c r="I51" s="72">
        <f t="shared" si="48"/>
        <v>1315.9698423577793</v>
      </c>
      <c r="J51" s="101">
        <f t="shared" si="49"/>
        <v>105.27758738862235</v>
      </c>
      <c r="K51" s="136">
        <f>J51/E51</f>
        <v>0.55107614839102992</v>
      </c>
      <c r="L51" s="41"/>
      <c r="M51" s="137">
        <f t="shared" si="56"/>
        <v>0.70185058259081556</v>
      </c>
      <c r="N51" s="73"/>
      <c r="O51" s="43"/>
      <c r="P51" s="43"/>
    </row>
    <row r="52" spans="1:27" x14ac:dyDescent="0.25">
      <c r="A52" s="43"/>
      <c r="B52" s="150"/>
      <c r="C52" s="41"/>
      <c r="D52" s="41"/>
      <c r="E52" s="41"/>
      <c r="F52" s="75"/>
      <c r="G52" s="41"/>
      <c r="H52" s="43"/>
      <c r="I52" s="76"/>
      <c r="J52" s="71"/>
      <c r="K52" s="41"/>
      <c r="L52" s="41"/>
      <c r="M52" s="137"/>
      <c r="N52" s="73"/>
      <c r="O52" s="43"/>
      <c r="P52" s="43"/>
    </row>
    <row r="53" spans="1:27" x14ac:dyDescent="0.25">
      <c r="A53" s="43"/>
      <c r="B53" s="74"/>
      <c r="C53" s="41"/>
      <c r="D53" s="41"/>
      <c r="E53" s="41"/>
      <c r="F53" s="41"/>
      <c r="G53" s="41"/>
      <c r="H53" s="43"/>
      <c r="I53" s="76"/>
      <c r="J53" s="71"/>
      <c r="K53" s="41"/>
      <c r="L53" s="41"/>
      <c r="M53" s="137"/>
      <c r="N53" s="73"/>
      <c r="O53" s="43"/>
      <c r="P53" s="43"/>
    </row>
    <row r="54" spans="1:27" x14ac:dyDescent="0.25">
      <c r="A54" s="43"/>
      <c r="B54" s="150"/>
      <c r="C54" s="41"/>
      <c r="D54" s="41"/>
      <c r="E54" s="41"/>
      <c r="F54" s="41"/>
      <c r="G54" s="41"/>
      <c r="H54" s="43"/>
      <c r="I54" s="76"/>
      <c r="J54" s="71"/>
      <c r="K54" s="41"/>
      <c r="L54" s="41"/>
      <c r="M54" s="137"/>
      <c r="N54" s="73"/>
      <c r="O54" s="43"/>
      <c r="P54" s="43"/>
    </row>
    <row r="55" spans="1:27" x14ac:dyDescent="0.25">
      <c r="A55" s="47"/>
      <c r="B55" s="150"/>
      <c r="C55" s="41"/>
      <c r="D55" s="41"/>
      <c r="E55" s="41"/>
      <c r="F55" s="41"/>
      <c r="G55" s="41"/>
      <c r="H55" s="43"/>
      <c r="I55" s="76"/>
      <c r="J55" s="71"/>
      <c r="K55" s="41"/>
      <c r="L55" s="41"/>
      <c r="M55" s="137"/>
      <c r="N55" s="73"/>
      <c r="O55" s="43"/>
      <c r="P55" s="43"/>
    </row>
    <row r="56" spans="1:27" x14ac:dyDescent="0.25">
      <c r="A56" s="71"/>
      <c r="B56" s="74"/>
      <c r="C56" s="41"/>
      <c r="D56" s="41"/>
      <c r="E56" s="41"/>
      <c r="F56" s="41"/>
      <c r="G56" s="41"/>
      <c r="H56" s="43"/>
      <c r="I56" s="76"/>
      <c r="J56" s="71"/>
      <c r="K56" s="41"/>
      <c r="L56" s="41"/>
      <c r="M56" s="137"/>
      <c r="N56" s="73"/>
      <c r="O56" s="43"/>
      <c r="P56" s="43"/>
    </row>
    <row r="57" spans="1:27" x14ac:dyDescent="0.25">
      <c r="A57" s="47"/>
      <c r="B57" s="150"/>
      <c r="C57" s="41"/>
      <c r="D57" s="41"/>
      <c r="E57" s="41"/>
      <c r="F57" s="41"/>
      <c r="G57" s="41"/>
      <c r="H57" s="43"/>
      <c r="I57" s="43"/>
      <c r="J57" s="47"/>
      <c r="K57" s="41"/>
      <c r="L57" s="41"/>
      <c r="M57" s="137"/>
      <c r="N57" s="73"/>
      <c r="O57" s="43"/>
      <c r="P57" s="43"/>
    </row>
    <row r="58" spans="1:27" x14ac:dyDescent="0.25">
      <c r="A58" s="47"/>
      <c r="B58" s="150"/>
      <c r="C58" s="41"/>
      <c r="D58" s="41"/>
      <c r="E58" s="41"/>
      <c r="F58" s="41"/>
      <c r="G58" s="136"/>
      <c r="H58" s="43"/>
      <c r="I58" s="43"/>
      <c r="J58" s="47"/>
      <c r="K58" s="41"/>
      <c r="L58" s="41"/>
      <c r="M58" s="137"/>
      <c r="N58" s="73"/>
      <c r="O58" s="43"/>
      <c r="P58" s="43"/>
    </row>
    <row r="59" spans="1:27" x14ac:dyDescent="0.25">
      <c r="A59" s="47"/>
      <c r="B59" s="150"/>
      <c r="C59" s="41"/>
      <c r="D59" s="41"/>
      <c r="E59" s="41"/>
      <c r="F59" s="41"/>
      <c r="G59" s="41"/>
      <c r="H59" s="43"/>
      <c r="I59" s="43"/>
      <c r="J59" s="47"/>
      <c r="K59" s="41"/>
      <c r="L59" s="41"/>
      <c r="M59" s="137"/>
      <c r="N59" s="73"/>
      <c r="O59" s="43"/>
      <c r="P59" s="43"/>
    </row>
    <row r="60" spans="1:27" x14ac:dyDescent="0.25">
      <c r="A60" s="47"/>
      <c r="B60" s="150"/>
      <c r="C60" s="41"/>
      <c r="D60" s="41"/>
      <c r="E60" s="41"/>
      <c r="F60" s="41"/>
      <c r="G60" s="41"/>
      <c r="H60" s="43"/>
      <c r="I60" s="43"/>
      <c r="J60" s="47"/>
      <c r="K60" s="41"/>
      <c r="L60" s="41"/>
      <c r="M60" s="137"/>
      <c r="N60" s="73"/>
      <c r="O60" s="43"/>
      <c r="P60" s="43"/>
    </row>
    <row r="61" spans="1:27" x14ac:dyDescent="0.25">
      <c r="A61" s="47"/>
      <c r="B61" s="150"/>
      <c r="C61" s="41"/>
      <c r="D61" s="41"/>
      <c r="E61" s="41"/>
      <c r="F61" s="41"/>
      <c r="G61" s="41"/>
      <c r="H61" s="43"/>
      <c r="I61" s="43"/>
      <c r="J61" s="47"/>
      <c r="K61" s="41"/>
      <c r="L61" s="41"/>
      <c r="M61" s="137"/>
      <c r="N61" s="73"/>
      <c r="O61" s="43"/>
      <c r="P61" s="43"/>
    </row>
    <row r="63" spans="1:27" x14ac:dyDescent="0.25">
      <c r="L63" s="80" t="s">
        <v>17</v>
      </c>
      <c r="M63" s="125"/>
      <c r="N63" s="123" t="s">
        <v>228</v>
      </c>
    </row>
    <row r="64" spans="1:27" x14ac:dyDescent="0.25">
      <c r="K64" s="79" t="s">
        <v>176</v>
      </c>
      <c r="L64" s="81">
        <f>B11</f>
        <v>100</v>
      </c>
      <c r="M64" s="80">
        <f>B18</f>
        <v>200</v>
      </c>
      <c r="N64" s="80">
        <f>B25</f>
        <v>400</v>
      </c>
      <c r="O64" s="80">
        <f>B32</f>
        <v>600</v>
      </c>
      <c r="P64" s="80">
        <f>B39</f>
        <v>800</v>
      </c>
      <c r="Q64" s="80">
        <f>B46</f>
        <v>1000</v>
      </c>
    </row>
    <row r="65" spans="1:18" x14ac:dyDescent="0.25">
      <c r="K65" s="82">
        <f>Q3</f>
        <v>0</v>
      </c>
      <c r="L65" s="140">
        <f>P11</f>
        <v>161.7686708007549</v>
      </c>
      <c r="M65" s="93">
        <f>P18</f>
        <v>335.4579000335458</v>
      </c>
      <c r="N65" s="93">
        <f>I25</f>
        <v>723.1093702922567</v>
      </c>
      <c r="O65" s="93">
        <f>I32</f>
        <v>1165.991902834008</v>
      </c>
      <c r="P65" s="93">
        <f>I39</f>
        <v>1593.0485155684287</v>
      </c>
      <c r="Q65" s="93">
        <f>I46</f>
        <v>2042.5531914893618</v>
      </c>
    </row>
    <row r="66" spans="1:18" x14ac:dyDescent="0.25">
      <c r="K66" s="82">
        <f t="shared" ref="K66:K70" si="57">Q4</f>
        <v>100</v>
      </c>
      <c r="L66" s="140">
        <f t="shared" ref="L66:L70" si="58">P12</f>
        <v>141.27619496114903</v>
      </c>
      <c r="M66" s="93">
        <f t="shared" ref="M66:M70" si="59">P19</f>
        <v>289.85507246376812</v>
      </c>
      <c r="N66" s="93">
        <f t="shared" ref="N66:N70" si="60">I26</f>
        <v>696.8641114982579</v>
      </c>
      <c r="O66" s="93">
        <f t="shared" ref="O66:O70" si="61">I33</f>
        <v>1030.3377218088151</v>
      </c>
      <c r="P66" s="93">
        <f t="shared" ref="P66:P70" si="62">I40</f>
        <v>1465.0388457269701</v>
      </c>
      <c r="Q66" s="93">
        <f t="shared" ref="Q66:Q70" si="63">I47</f>
        <v>1875</v>
      </c>
    </row>
    <row r="67" spans="1:18" x14ac:dyDescent="0.25">
      <c r="K67" s="82">
        <f t="shared" si="57"/>
        <v>250</v>
      </c>
      <c r="L67" s="140">
        <f t="shared" si="58"/>
        <v>132.56738842244806</v>
      </c>
      <c r="M67" s="93">
        <f t="shared" si="59"/>
        <v>270.27027027027026</v>
      </c>
      <c r="N67" s="93">
        <f t="shared" si="60"/>
        <v>634.75271092303615</v>
      </c>
      <c r="O67" s="93">
        <f t="shared" si="61"/>
        <v>953.89507154213027</v>
      </c>
      <c r="P67" s="93">
        <f t="shared" si="62"/>
        <v>1365.3289201489449</v>
      </c>
      <c r="Q67" s="93">
        <f t="shared" si="63"/>
        <v>1759.5307917888563</v>
      </c>
    </row>
    <row r="68" spans="1:18" x14ac:dyDescent="0.25">
      <c r="K68" s="82">
        <f t="shared" si="57"/>
        <v>500</v>
      </c>
      <c r="L68" s="140">
        <f t="shared" si="58"/>
        <v>121.23661345726408</v>
      </c>
      <c r="M68" s="93">
        <f t="shared" si="59"/>
        <v>244.76808224207565</v>
      </c>
      <c r="N68" s="93">
        <f t="shared" si="60"/>
        <v>541.82187605824583</v>
      </c>
      <c r="O68" s="93">
        <f t="shared" si="61"/>
        <v>893.07864053584717</v>
      </c>
      <c r="P68" s="93">
        <f t="shared" si="62"/>
        <v>1271.431323444423</v>
      </c>
      <c r="Q68" s="93">
        <f t="shared" si="63"/>
        <v>1668.1146828844485</v>
      </c>
    </row>
    <row r="69" spans="1:18" x14ac:dyDescent="0.25">
      <c r="K69" s="82">
        <f t="shared" si="57"/>
        <v>750</v>
      </c>
      <c r="L69" s="140">
        <f t="shared" si="58"/>
        <v>111.66945840312674</v>
      </c>
      <c r="M69" s="93">
        <f t="shared" si="59"/>
        <v>222.2222222222222</v>
      </c>
      <c r="N69" s="93">
        <f t="shared" si="60"/>
        <v>480.33623536475528</v>
      </c>
      <c r="O69" s="93">
        <f t="shared" si="61"/>
        <v>809.17060013486173</v>
      </c>
      <c r="P69" s="93">
        <f t="shared" si="62"/>
        <v>1156.0693641618495</v>
      </c>
      <c r="Q69" s="93">
        <f t="shared" si="63"/>
        <v>1462.9686071319718</v>
      </c>
    </row>
    <row r="70" spans="1:18" x14ac:dyDescent="0.25">
      <c r="K70" s="82">
        <f t="shared" si="57"/>
        <v>1000</v>
      </c>
      <c r="L70" s="140">
        <f t="shared" si="58"/>
        <v>98.360655737704917</v>
      </c>
      <c r="M70" s="93">
        <f t="shared" si="59"/>
        <v>194.70404984423675</v>
      </c>
      <c r="N70" s="93">
        <f t="shared" si="60"/>
        <v>437.47721472839959</v>
      </c>
      <c r="O70" s="93">
        <f t="shared" si="61"/>
        <v>719.56825904457321</v>
      </c>
      <c r="P70" s="93">
        <f t="shared" si="62"/>
        <v>1024.5265445513814</v>
      </c>
      <c r="Q70" s="93">
        <f t="shared" si="63"/>
        <v>1315.9698423577793</v>
      </c>
    </row>
    <row r="71" spans="1:18" x14ac:dyDescent="0.25">
      <c r="K71" s="83"/>
      <c r="M71" s="125"/>
    </row>
    <row r="72" spans="1:18" x14ac:dyDescent="0.25">
      <c r="K72" s="123">
        <f>B80</f>
        <v>2040</v>
      </c>
      <c r="L72" s="40">
        <f t="shared" ref="L72:Q72" si="64">_xlfn.FORECAST.LINEAR($B$80,L65:L70,$K$65:$K$70)</f>
        <v>38.163912473967756</v>
      </c>
      <c r="M72" s="40">
        <f t="shared" si="64"/>
        <v>59.304483598920314</v>
      </c>
      <c r="N72" s="40">
        <f t="shared" si="64"/>
        <v>107.16962155588283</v>
      </c>
      <c r="O72" s="40">
        <f t="shared" si="64"/>
        <v>292.94525758348288</v>
      </c>
      <c r="P72" s="40">
        <f t="shared" si="64"/>
        <v>470.2670644400298</v>
      </c>
      <c r="Q72" s="40">
        <f t="shared" si="64"/>
        <v>601.55373432785041</v>
      </c>
      <c r="R72" s="123" t="s">
        <v>25</v>
      </c>
    </row>
    <row r="73" spans="1:18" x14ac:dyDescent="0.25">
      <c r="J73" s="123" t="s">
        <v>25</v>
      </c>
      <c r="K73" s="94">
        <f>B79</f>
        <v>9.463519999999999</v>
      </c>
      <c r="L73" s="95">
        <f>_xlfn.FORECAST.LINEAR(K73,L64:Q64,L72:Q72)</f>
        <v>148.56838238499975</v>
      </c>
      <c r="M73" s="125" t="s">
        <v>17</v>
      </c>
    </row>
    <row r="77" spans="1:18" x14ac:dyDescent="0.25">
      <c r="A77" s="49" t="s">
        <v>229</v>
      </c>
      <c r="B77" s="77">
        <v>1670</v>
      </c>
      <c r="C77" s="40" t="s">
        <v>25</v>
      </c>
      <c r="M77" s="125"/>
      <c r="N77" s="253" t="s">
        <v>373</v>
      </c>
      <c r="O77" s="253" t="s">
        <v>372</v>
      </c>
      <c r="P77" s="253" t="s">
        <v>373</v>
      </c>
      <c r="Q77" s="253" t="s">
        <v>372</v>
      </c>
    </row>
    <row r="78" spans="1:18" x14ac:dyDescent="0.25">
      <c r="B78" s="77">
        <v>1000</v>
      </c>
      <c r="C78" s="40" t="s">
        <v>17</v>
      </c>
      <c r="M78" s="125"/>
      <c r="N78" s="40">
        <f>C87</f>
        <v>5.9350000000000005</v>
      </c>
      <c r="O78" s="249">
        <f>L65</f>
        <v>161.7686708007549</v>
      </c>
      <c r="P78" s="40">
        <f>D87</f>
        <v>12.07</v>
      </c>
      <c r="Q78" s="249">
        <f>M65</f>
        <v>335.4579000335458</v>
      </c>
    </row>
    <row r="79" spans="1:18" x14ac:dyDescent="0.25">
      <c r="A79" s="40" t="s">
        <v>230</v>
      </c>
      <c r="B79" s="78">
        <f>Q</f>
        <v>9.463519999999999</v>
      </c>
      <c r="C79" s="40" t="s">
        <v>25</v>
      </c>
      <c r="M79" s="125"/>
      <c r="N79" s="40">
        <f t="shared" ref="N79:N83" si="65">C88</f>
        <v>9.3000000000000007</v>
      </c>
      <c r="O79" s="249">
        <f t="shared" ref="O79:O83" si="66">L66</f>
        <v>141.27619496114903</v>
      </c>
      <c r="P79" s="40">
        <f t="shared" ref="P79:P83" si="67">D88</f>
        <v>18.465</v>
      </c>
      <c r="Q79" s="249">
        <f t="shared" ref="Q79:Q83" si="68">M66</f>
        <v>289.85507246376812</v>
      </c>
    </row>
    <row r="80" spans="1:18" x14ac:dyDescent="0.25">
      <c r="A80" s="40" t="s">
        <v>231</v>
      </c>
      <c r="B80" s="78">
        <f>Pavg</f>
        <v>2040</v>
      </c>
      <c r="C80" s="40">
        <v>1000</v>
      </c>
      <c r="D80" s="40" t="s">
        <v>232</v>
      </c>
      <c r="M80" s="125"/>
      <c r="N80" s="40">
        <f t="shared" si="65"/>
        <v>11.64</v>
      </c>
      <c r="O80" s="249">
        <f t="shared" si="66"/>
        <v>132.56738842244806</v>
      </c>
      <c r="P80" s="40">
        <f t="shared" si="67"/>
        <v>23.19</v>
      </c>
      <c r="Q80" s="249">
        <f t="shared" si="68"/>
        <v>270.27027027027026</v>
      </c>
    </row>
    <row r="81" spans="1:17" x14ac:dyDescent="0.25">
      <c r="A81" s="40" t="s">
        <v>233</v>
      </c>
      <c r="B81" s="77">
        <v>0</v>
      </c>
      <c r="C81" s="40" t="s">
        <v>234</v>
      </c>
      <c r="E81" s="40" t="s">
        <v>235</v>
      </c>
      <c r="N81" s="40">
        <f t="shared" si="65"/>
        <v>13.56</v>
      </c>
      <c r="O81" s="249">
        <f t="shared" si="66"/>
        <v>121.23661345726408</v>
      </c>
      <c r="P81" s="40">
        <f t="shared" si="67"/>
        <v>28.635000000000002</v>
      </c>
      <c r="Q81" s="249">
        <f t="shared" si="68"/>
        <v>244.76808224207565</v>
      </c>
    </row>
    <row r="82" spans="1:17" x14ac:dyDescent="0.25">
      <c r="A82" s="40" t="s">
        <v>236</v>
      </c>
      <c r="B82" s="77">
        <f>L73</f>
        <v>148.56838238499975</v>
      </c>
      <c r="N82" s="40">
        <f t="shared" si="65"/>
        <v>17.489999999999998</v>
      </c>
      <c r="O82" s="249">
        <f t="shared" si="66"/>
        <v>111.66945840312674</v>
      </c>
      <c r="P82" s="40">
        <f t="shared" si="67"/>
        <v>36</v>
      </c>
      <c r="Q82" s="249">
        <f t="shared" si="68"/>
        <v>222.2222222222222</v>
      </c>
    </row>
    <row r="83" spans="1:17" x14ac:dyDescent="0.25">
      <c r="A83" s="40" t="s">
        <v>237</v>
      </c>
      <c r="B83" s="77">
        <f>(1+(B80/C80*B81))*B82</f>
        <v>148.56838238499975</v>
      </c>
      <c r="N83" s="40">
        <f t="shared" si="65"/>
        <v>23.4</v>
      </c>
      <c r="O83" s="249">
        <f t="shared" si="66"/>
        <v>98.360655737704917</v>
      </c>
      <c r="P83" s="40">
        <f t="shared" si="67"/>
        <v>46.11</v>
      </c>
      <c r="Q83" s="249">
        <f t="shared" si="68"/>
        <v>194.70404984423675</v>
      </c>
    </row>
    <row r="84" spans="1:17" x14ac:dyDescent="0.25">
      <c r="A84" s="40" t="s">
        <v>238</v>
      </c>
    </row>
    <row r="85" spans="1:17" x14ac:dyDescent="0.25">
      <c r="A85" s="79" t="s">
        <v>176</v>
      </c>
      <c r="E85" s="123" t="s">
        <v>239</v>
      </c>
      <c r="H85" s="40" t="s">
        <v>240</v>
      </c>
    </row>
    <row r="86" spans="1:17" x14ac:dyDescent="0.25">
      <c r="A86" s="80" t="s">
        <v>17</v>
      </c>
      <c r="B86" s="77">
        <v>0.1</v>
      </c>
      <c r="C86" s="81">
        <f>B11</f>
        <v>100</v>
      </c>
      <c r="D86" s="80">
        <f>B18</f>
        <v>200</v>
      </c>
      <c r="E86" s="80">
        <f>B25</f>
        <v>400</v>
      </c>
      <c r="F86" s="80">
        <f>B32</f>
        <v>600</v>
      </c>
      <c r="G86" s="80">
        <f>B39</f>
        <v>800</v>
      </c>
      <c r="H86" s="80">
        <f>B46</f>
        <v>1000</v>
      </c>
      <c r="I86" s="40">
        <f>H86*10</f>
        <v>10000</v>
      </c>
    </row>
    <row r="87" spans="1:17" x14ac:dyDescent="0.25">
      <c r="A87" s="82">
        <f>Q3</f>
        <v>0</v>
      </c>
      <c r="B87" s="77">
        <f>$J$7</f>
        <v>0.22999999999999998</v>
      </c>
      <c r="C87" s="41">
        <f>F11</f>
        <v>5.9350000000000005</v>
      </c>
      <c r="D87" s="43">
        <f>F18</f>
        <v>12.07</v>
      </c>
      <c r="E87" s="43">
        <f t="shared" ref="E87:E92" si="69">F25</f>
        <v>23.59</v>
      </c>
      <c r="F87" s="43">
        <f t="shared" ref="F87:F92" si="70">F32</f>
        <v>36.25</v>
      </c>
      <c r="G87" s="43">
        <f t="shared" ref="G87:G92" si="71">F39</f>
        <v>53.290000000000006</v>
      </c>
      <c r="H87" s="43">
        <f t="shared" ref="H87:H92" si="72">F46</f>
        <v>70.33</v>
      </c>
      <c r="I87" s="40">
        <f t="shared" ref="I87:I92" si="73">H87*10</f>
        <v>703.3</v>
      </c>
      <c r="J87" s="94">
        <f t="shared" ref="J87:J92" ca="1" si="74">_xlfn.FORECAST.LINEAR(__RPM1,OFFSET(B87:H87,0,MATCH(__RPM1,$B$86:$H$86,1)-1,1,2),OFFSET($B$86:$H$86,0,MATCH(__RPM1,$B$86:$H$86,1)-1,1,2))</f>
        <v>8.9146702593197364</v>
      </c>
    </row>
    <row r="88" spans="1:17" x14ac:dyDescent="0.25">
      <c r="A88" s="82">
        <f t="shared" ref="A88:A91" si="75">Q4</f>
        <v>100</v>
      </c>
      <c r="B88" s="77">
        <f t="shared" ref="B88:B92" si="76">$J$7</f>
        <v>0.22999999999999998</v>
      </c>
      <c r="C88" s="41">
        <f>E12</f>
        <v>9.3000000000000007</v>
      </c>
      <c r="D88" s="43">
        <f>E19</f>
        <v>18.465</v>
      </c>
      <c r="E88" s="43">
        <f t="shared" si="69"/>
        <v>33.970000000000006</v>
      </c>
      <c r="F88" s="43">
        <f t="shared" si="70"/>
        <v>52.39</v>
      </c>
      <c r="G88" s="43">
        <f t="shared" si="71"/>
        <v>71.17</v>
      </c>
      <c r="H88" s="43">
        <f t="shared" si="72"/>
        <v>94.089999999999989</v>
      </c>
      <c r="I88" s="40">
        <f t="shared" si="73"/>
        <v>940.89999999999986</v>
      </c>
      <c r="J88" s="94">
        <f t="shared" ca="1" si="74"/>
        <v>13.751292245585228</v>
      </c>
    </row>
    <row r="89" spans="1:17" x14ac:dyDescent="0.25">
      <c r="A89" s="82">
        <f t="shared" si="75"/>
        <v>250</v>
      </c>
      <c r="B89" s="77">
        <f t="shared" si="76"/>
        <v>0.22999999999999998</v>
      </c>
      <c r="C89" s="41">
        <f>E13</f>
        <v>11.64</v>
      </c>
      <c r="D89" s="43">
        <f>E20</f>
        <v>23.19</v>
      </c>
      <c r="E89" s="43">
        <f t="shared" si="69"/>
        <v>44.410000000000004</v>
      </c>
      <c r="F89" s="43">
        <f t="shared" si="70"/>
        <v>64.33</v>
      </c>
      <c r="G89" s="43">
        <f t="shared" si="71"/>
        <v>89.289999999999992</v>
      </c>
      <c r="H89" s="43">
        <f t="shared" si="72"/>
        <v>116.41</v>
      </c>
      <c r="I89" s="40">
        <f t="shared" si="73"/>
        <v>1164.0999999999999</v>
      </c>
      <c r="J89" s="94">
        <f t="shared" ca="1" si="74"/>
        <v>17.249648165467473</v>
      </c>
    </row>
    <row r="90" spans="1:17" x14ac:dyDescent="0.25">
      <c r="A90" s="82">
        <f t="shared" si="75"/>
        <v>500</v>
      </c>
      <c r="B90" s="77">
        <f t="shared" si="76"/>
        <v>0.22999999999999998</v>
      </c>
      <c r="C90" s="41">
        <f>E14</f>
        <v>13.56</v>
      </c>
      <c r="D90" s="43">
        <f>E21</f>
        <v>28.635000000000002</v>
      </c>
      <c r="E90" s="43">
        <f t="shared" si="69"/>
        <v>59.59</v>
      </c>
      <c r="F90" s="43">
        <f t="shared" si="70"/>
        <v>74.289999999999992</v>
      </c>
      <c r="G90" s="43">
        <f t="shared" si="71"/>
        <v>103.63</v>
      </c>
      <c r="H90" s="43">
        <f t="shared" si="72"/>
        <v>137.89000000000001</v>
      </c>
      <c r="I90" s="40">
        <f t="shared" si="73"/>
        <v>1378.9</v>
      </c>
      <c r="J90" s="94">
        <f t="shared" ca="1" si="74"/>
        <v>20.881683644538711</v>
      </c>
    </row>
    <row r="91" spans="1:17" x14ac:dyDescent="0.25">
      <c r="A91" s="82">
        <f t="shared" si="75"/>
        <v>750</v>
      </c>
      <c r="B91" s="77">
        <f t="shared" si="76"/>
        <v>0.22999999999999998</v>
      </c>
      <c r="C91" s="41">
        <f>E15</f>
        <v>17.489999999999998</v>
      </c>
      <c r="D91" s="43">
        <f>E22</f>
        <v>36</v>
      </c>
      <c r="E91" s="43">
        <f t="shared" si="69"/>
        <v>67.27</v>
      </c>
      <c r="F91" s="43">
        <f t="shared" si="70"/>
        <v>93.25</v>
      </c>
      <c r="G91" s="43">
        <f t="shared" si="71"/>
        <v>123.49</v>
      </c>
      <c r="H91" s="43">
        <f t="shared" si="72"/>
        <v>165.94142857142856</v>
      </c>
      <c r="I91" s="40">
        <f t="shared" si="73"/>
        <v>1659.4142857142856</v>
      </c>
      <c r="J91" s="94">
        <f t="shared" ca="1" si="74"/>
        <v>26.480007579463454</v>
      </c>
    </row>
    <row r="92" spans="1:17" x14ac:dyDescent="0.25">
      <c r="A92" s="82">
        <f>Q8+0.1</f>
        <v>1000.1</v>
      </c>
      <c r="B92" s="77">
        <f t="shared" si="76"/>
        <v>0.22999999999999998</v>
      </c>
      <c r="C92" s="41">
        <f>E16</f>
        <v>23.4</v>
      </c>
      <c r="D92" s="43">
        <f>E23</f>
        <v>46.11</v>
      </c>
      <c r="E92" s="43">
        <f t="shared" si="69"/>
        <v>88.39</v>
      </c>
      <c r="F92" s="43">
        <f t="shared" si="70"/>
        <v>119.95</v>
      </c>
      <c r="G92" s="43">
        <f t="shared" si="71"/>
        <v>143.31285714285715</v>
      </c>
      <c r="H92" s="43">
        <f t="shared" si="72"/>
        <v>190.81</v>
      </c>
      <c r="I92" s="40">
        <f t="shared" si="73"/>
        <v>1908.1</v>
      </c>
      <c r="J92" s="94">
        <f t="shared" ca="1" si="74"/>
        <v>34.429879639633441</v>
      </c>
    </row>
    <row r="95" spans="1:17" x14ac:dyDescent="0.25">
      <c r="A95" s="40" t="s">
        <v>241</v>
      </c>
      <c r="B95" s="84">
        <f>B83</f>
        <v>148.56838238499975</v>
      </c>
      <c r="C95" s="40" t="s">
        <v>17</v>
      </c>
    </row>
    <row r="96" spans="1:17" x14ac:dyDescent="0.25">
      <c r="A96" s="40" t="s">
        <v>242</v>
      </c>
      <c r="B96" s="84">
        <f>B80</f>
        <v>2040</v>
      </c>
      <c r="C96" s="40" t="s">
        <v>165</v>
      </c>
    </row>
    <row r="97" spans="1:16" x14ac:dyDescent="0.25">
      <c r="A97" s="40" t="s">
        <v>243</v>
      </c>
      <c r="B97" s="85" t="e">
        <f ca="1">_xlfn.FORECAST.LINEAR(Press1,OFFSET(J87:J92,MATCH(Press1,A87:A92,1)-1,0,2),OFFSET(A87:A92,MATCH(Press1,A87:A92,1)-1,0,2))</f>
        <v>#DIV/0!</v>
      </c>
      <c r="C97" s="40" t="s">
        <v>18</v>
      </c>
    </row>
    <row r="104" spans="1:16" x14ac:dyDescent="0.25">
      <c r="K104" s="249">
        <f>L70</f>
        <v>98.360655737704917</v>
      </c>
      <c r="L104" s="249">
        <f t="shared" ref="L104:P104" si="77">M70</f>
        <v>194.70404984423675</v>
      </c>
      <c r="M104" s="249">
        <f t="shared" si="77"/>
        <v>437.47721472839959</v>
      </c>
      <c r="N104" s="249">
        <f t="shared" si="77"/>
        <v>719.56825904457321</v>
      </c>
      <c r="O104" s="249">
        <f t="shared" si="77"/>
        <v>1024.5265445513814</v>
      </c>
      <c r="P104" s="249">
        <f t="shared" si="77"/>
        <v>1315.9698423577793</v>
      </c>
    </row>
    <row r="105" spans="1:16" x14ac:dyDescent="0.25">
      <c r="K105" s="140">
        <f>L64</f>
        <v>100</v>
      </c>
      <c r="L105" s="140">
        <f t="shared" ref="L105:P105" si="78">M64</f>
        <v>200</v>
      </c>
      <c r="M105" s="140">
        <f t="shared" si="78"/>
        <v>400</v>
      </c>
      <c r="N105" s="140">
        <f t="shared" si="78"/>
        <v>600</v>
      </c>
      <c r="O105" s="140">
        <f t="shared" si="78"/>
        <v>800</v>
      </c>
      <c r="P105" s="140">
        <f t="shared" si="78"/>
        <v>1000</v>
      </c>
    </row>
    <row r="106" spans="1:16" x14ac:dyDescent="0.25">
      <c r="M106" s="40"/>
    </row>
  </sheetData>
  <mergeCells count="3">
    <mergeCell ref="C9:E9"/>
    <mergeCell ref="F9:H9"/>
    <mergeCell ref="L9:N9"/>
  </mergeCells>
  <pageMargins left="0.70866141732283472" right="0.70866141732283472" top="0.74803149606299213" bottom="0.74803149606299213" header="0.31496062992125984" footer="0.31496062992125984"/>
  <pageSetup scale="63" orientation="landscape" r:id="rId1"/>
  <rowBreaks count="1" manualBreakCount="1">
    <brk id="54" max="13"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A8B08-FF3B-431C-B4C5-40D923B03256}">
  <sheetPr>
    <tabColor rgb="FFFFFF00"/>
  </sheetPr>
  <dimension ref="A1:AA97"/>
  <sheetViews>
    <sheetView workbookViewId="0"/>
  </sheetViews>
  <sheetFormatPr defaultColWidth="9.140625" defaultRowHeight="15" x14ac:dyDescent="0.25"/>
  <cols>
    <col min="1" max="1" width="14.7109375" style="40" customWidth="1"/>
    <col min="2" max="2" width="11.28515625" style="77" customWidth="1"/>
    <col min="3" max="3" width="12.42578125" style="40" customWidth="1"/>
    <col min="4" max="4" width="19.140625" style="40" customWidth="1"/>
    <col min="5" max="5" width="13.7109375" style="40" customWidth="1"/>
    <col min="6" max="6" width="14.85546875" style="40" customWidth="1"/>
    <col min="7" max="7" width="13.140625" style="40" customWidth="1"/>
    <col min="8" max="8" width="9.140625" style="40"/>
    <col min="9" max="9" width="12.140625" style="40" customWidth="1"/>
    <col min="10" max="10" width="10.5703125" style="40" customWidth="1"/>
    <col min="11" max="11" width="12" style="40" customWidth="1"/>
    <col min="12" max="12" width="9.140625" style="40" customWidth="1"/>
    <col min="13" max="13" width="9.140625" style="44"/>
    <col min="14" max="16384" width="9.140625" style="40"/>
  </cols>
  <sheetData>
    <row r="1" spans="1:27" x14ac:dyDescent="0.25">
      <c r="B1" s="41" t="s">
        <v>195</v>
      </c>
      <c r="C1" s="42">
        <v>44279</v>
      </c>
      <c r="D1" s="128" t="s">
        <v>196</v>
      </c>
      <c r="E1" s="43"/>
      <c r="F1" s="43"/>
      <c r="M1" s="125"/>
    </row>
    <row r="2" spans="1:27" ht="21" x14ac:dyDescent="0.35">
      <c r="A2" s="45" t="s">
        <v>253</v>
      </c>
      <c r="B2" s="46"/>
      <c r="C2" s="45"/>
      <c r="D2" s="45"/>
      <c r="E2" s="45"/>
      <c r="F2" s="45"/>
      <c r="G2" s="45"/>
      <c r="H2" s="45"/>
      <c r="I2" s="45"/>
      <c r="J2" s="45"/>
      <c r="K2" s="45"/>
      <c r="L2" s="45"/>
      <c r="M2" s="40"/>
      <c r="P2" s="47" t="s">
        <v>198</v>
      </c>
      <c r="Q2" s="49" t="s">
        <v>199</v>
      </c>
    </row>
    <row r="3" spans="1:27" x14ac:dyDescent="0.25">
      <c r="A3" s="47" t="s">
        <v>200</v>
      </c>
      <c r="B3" s="150"/>
      <c r="C3" s="47" t="s">
        <v>244</v>
      </c>
      <c r="D3" s="47"/>
      <c r="E3" s="47"/>
      <c r="F3" s="47"/>
      <c r="G3" s="48"/>
      <c r="H3" s="43" t="s">
        <v>202</v>
      </c>
      <c r="I3" s="49" t="s">
        <v>203</v>
      </c>
      <c r="J3" s="50" t="s">
        <v>18</v>
      </c>
      <c r="K3" s="49"/>
      <c r="L3" s="49"/>
      <c r="M3" s="40"/>
      <c r="P3" s="47">
        <v>20</v>
      </c>
      <c r="Q3" s="49">
        <v>0</v>
      </c>
    </row>
    <row r="4" spans="1:27" x14ac:dyDescent="0.25">
      <c r="A4" s="150" t="s">
        <v>204</v>
      </c>
      <c r="B4" s="150"/>
      <c r="C4" s="150">
        <v>0.625</v>
      </c>
      <c r="D4" s="150"/>
      <c r="E4" s="150"/>
      <c r="F4" s="150"/>
      <c r="G4" s="51" t="s">
        <v>205</v>
      </c>
      <c r="K4" s="150"/>
      <c r="L4" s="50"/>
      <c r="M4" s="151"/>
      <c r="O4" s="47"/>
      <c r="P4" s="47">
        <f>(P$8-P$3)/5+P3</f>
        <v>136</v>
      </c>
      <c r="Q4" s="49">
        <v>100</v>
      </c>
    </row>
    <row r="5" spans="1:27" x14ac:dyDescent="0.25">
      <c r="A5" s="150" t="s">
        <v>206</v>
      </c>
      <c r="B5" s="150"/>
      <c r="C5" s="150" t="s">
        <v>247</v>
      </c>
      <c r="D5" s="150"/>
      <c r="E5" s="150"/>
      <c r="F5" s="150"/>
      <c r="G5" s="52" t="s">
        <v>207</v>
      </c>
      <c r="H5" s="43">
        <v>105</v>
      </c>
      <c r="I5" s="150">
        <v>3</v>
      </c>
      <c r="J5" s="40">
        <f>(H5)*60/I5/1000</f>
        <v>2.1</v>
      </c>
      <c r="K5" s="150"/>
      <c r="L5" s="50"/>
      <c r="M5" s="151"/>
      <c r="O5" s="47"/>
      <c r="P5" s="47">
        <f t="shared" ref="P5:P7" si="0">(P$8-P$3)/5+P4</f>
        <v>252</v>
      </c>
      <c r="Q5" s="49">
        <v>250</v>
      </c>
    </row>
    <row r="6" spans="1:27" x14ac:dyDescent="0.25">
      <c r="A6" s="150" t="s">
        <v>208</v>
      </c>
      <c r="B6" s="150"/>
      <c r="C6" s="150">
        <f>0.15-0.014</f>
        <v>0.13599999999999998</v>
      </c>
      <c r="D6" s="150"/>
      <c r="E6" s="150"/>
      <c r="F6" s="150"/>
      <c r="G6" s="51" t="s">
        <v>209</v>
      </c>
      <c r="H6" s="43">
        <v>87</v>
      </c>
      <c r="I6" s="150">
        <v>3</v>
      </c>
      <c r="J6" s="40">
        <f>(H6)*60/I6/1000</f>
        <v>1.74</v>
      </c>
      <c r="K6" s="150"/>
      <c r="L6" s="50"/>
      <c r="M6" s="151"/>
      <c r="O6" s="47"/>
      <c r="P6" s="47">
        <f t="shared" si="0"/>
        <v>368</v>
      </c>
      <c r="Q6" s="49">
        <v>500</v>
      </c>
    </row>
    <row r="7" spans="1:27" x14ac:dyDescent="0.25">
      <c r="A7" s="53" t="s">
        <v>210</v>
      </c>
      <c r="B7" s="150"/>
      <c r="C7" s="150" t="s">
        <v>252</v>
      </c>
      <c r="D7" s="150"/>
      <c r="E7" s="150"/>
      <c r="F7" s="150"/>
      <c r="I7" s="40" t="s">
        <v>212</v>
      </c>
      <c r="J7" s="50">
        <f>J5-J6</f>
        <v>0.3600000000000001</v>
      </c>
      <c r="K7" s="50" t="s">
        <v>18</v>
      </c>
      <c r="L7" s="50"/>
      <c r="M7" s="151"/>
      <c r="O7" s="47"/>
      <c r="P7" s="47">
        <f t="shared" si="0"/>
        <v>484</v>
      </c>
      <c r="Q7" s="49">
        <v>750</v>
      </c>
    </row>
    <row r="8" spans="1:27" ht="15.75" thickBot="1" x14ac:dyDescent="0.3">
      <c r="A8" s="53" t="s">
        <v>213</v>
      </c>
      <c r="B8" s="150"/>
      <c r="C8" s="148" t="s">
        <v>214</v>
      </c>
      <c r="D8" s="53"/>
      <c r="E8" s="53"/>
      <c r="F8" s="53"/>
      <c r="G8" s="40" t="s">
        <v>215</v>
      </c>
      <c r="J8" s="50"/>
      <c r="K8" s="50"/>
      <c r="L8" s="50"/>
      <c r="M8" s="151"/>
      <c r="O8" s="54"/>
      <c r="P8" s="54">
        <v>600</v>
      </c>
      <c r="Q8" s="49">
        <v>1000</v>
      </c>
    </row>
    <row r="9" spans="1:27" x14ac:dyDescent="0.25">
      <c r="A9" s="47" t="s">
        <v>176</v>
      </c>
      <c r="C9" s="285" t="s">
        <v>216</v>
      </c>
      <c r="D9" s="286"/>
      <c r="E9" s="287"/>
      <c r="F9" s="288" t="s">
        <v>217</v>
      </c>
      <c r="G9" s="288"/>
      <c r="H9" s="288"/>
      <c r="I9" s="55"/>
      <c r="J9" s="56" t="s">
        <v>218</v>
      </c>
      <c r="K9" s="57" t="s">
        <v>219</v>
      </c>
      <c r="L9" s="289"/>
      <c r="M9" s="290"/>
      <c r="N9" s="290"/>
      <c r="O9" s="58"/>
      <c r="P9" s="59"/>
      <c r="Z9" s="40">
        <v>10</v>
      </c>
      <c r="AA9" s="40">
        <f t="shared" ref="AA9:AA14" si="1">Z9/400*600</f>
        <v>15</v>
      </c>
    </row>
    <row r="10" spans="1:27" ht="15.75" thickBot="1" x14ac:dyDescent="0.3">
      <c r="A10" s="150" t="s">
        <v>220</v>
      </c>
      <c r="B10" s="150" t="s">
        <v>17</v>
      </c>
      <c r="C10" s="53" t="s">
        <v>202</v>
      </c>
      <c r="D10" s="50" t="s">
        <v>221</v>
      </c>
      <c r="E10" s="61" t="s">
        <v>18</v>
      </c>
      <c r="F10" s="62" t="s">
        <v>222</v>
      </c>
      <c r="G10" s="53" t="s">
        <v>223</v>
      </c>
      <c r="H10" s="53" t="s">
        <v>224</v>
      </c>
      <c r="I10" s="64" t="s">
        <v>225</v>
      </c>
      <c r="J10" s="60" t="s">
        <v>18</v>
      </c>
      <c r="K10" s="63" t="s">
        <v>226</v>
      </c>
      <c r="L10" s="63"/>
      <c r="M10" s="65" t="s">
        <v>227</v>
      </c>
      <c r="N10" s="66"/>
      <c r="O10" s="67"/>
      <c r="P10" s="68"/>
      <c r="Q10" s="69"/>
      <c r="R10" s="70"/>
      <c r="S10" s="70"/>
      <c r="Z10" s="40">
        <v>50</v>
      </c>
      <c r="AA10" s="40">
        <f t="shared" si="1"/>
        <v>75</v>
      </c>
    </row>
    <row r="11" spans="1:27" x14ac:dyDescent="0.25">
      <c r="A11" s="74">
        <f>Q3</f>
        <v>0</v>
      </c>
      <c r="B11" s="150">
        <f>P$3</f>
        <v>20</v>
      </c>
      <c r="C11" s="43">
        <v>61</v>
      </c>
      <c r="D11" s="43">
        <f>60/60</f>
        <v>1</v>
      </c>
      <c r="E11" s="133">
        <f>60/D11*C11/1000</f>
        <v>3.66</v>
      </c>
      <c r="F11" s="100">
        <f>E11-$J$7</f>
        <v>3.3</v>
      </c>
      <c r="G11" s="24">
        <v>252</v>
      </c>
      <c r="H11" s="24">
        <v>200</v>
      </c>
      <c r="I11" s="72">
        <f t="shared" ref="I11:I16" si="2">60*H11/G11</f>
        <v>47.61904761904762</v>
      </c>
      <c r="J11" s="101">
        <f t="shared" ref="J11:J16" si="3">I11/100*A11/100*0.8</f>
        <v>0</v>
      </c>
      <c r="K11" s="136">
        <f t="shared" ref="K11:K15" si="4">J11/E11</f>
        <v>0</v>
      </c>
      <c r="L11" s="41"/>
      <c r="M11" s="137"/>
      <c r="N11" s="73"/>
      <c r="O11" s="43"/>
      <c r="P11" s="43"/>
      <c r="Q11" s="69"/>
      <c r="R11" s="70"/>
      <c r="S11" s="70"/>
    </row>
    <row r="12" spans="1:27" x14ac:dyDescent="0.25">
      <c r="A12" s="74">
        <f t="shared" ref="A12:A16" si="5">Q4</f>
        <v>100</v>
      </c>
      <c r="B12" s="150">
        <f t="shared" ref="B12:B16" si="6">P$3</f>
        <v>20</v>
      </c>
      <c r="C12" s="43">
        <v>108</v>
      </c>
      <c r="D12" s="43">
        <f t="shared" ref="D12:D16" si="7">60/60</f>
        <v>1</v>
      </c>
      <c r="E12" s="133">
        <f t="shared" ref="E12:E16" si="8">60/D12*C12/1000</f>
        <v>6.48</v>
      </c>
      <c r="F12" s="100">
        <f t="shared" ref="F12:F16" si="9">E12-$J$7</f>
        <v>6.12</v>
      </c>
      <c r="G12" s="24">
        <v>254</v>
      </c>
      <c r="H12" s="24">
        <v>200</v>
      </c>
      <c r="I12" s="72">
        <f t="shared" si="2"/>
        <v>47.244094488188978</v>
      </c>
      <c r="J12" s="101">
        <f t="shared" si="3"/>
        <v>0.37795275590551181</v>
      </c>
      <c r="K12" s="136">
        <f t="shared" si="4"/>
        <v>5.8326042578011078E-2</v>
      </c>
      <c r="L12" s="41"/>
      <c r="M12" s="137">
        <f>I12/$I$12</f>
        <v>1</v>
      </c>
      <c r="N12" s="73"/>
      <c r="O12" s="43"/>
      <c r="P12" s="43"/>
      <c r="Z12" s="40">
        <v>100</v>
      </c>
      <c r="AA12" s="40">
        <f t="shared" si="1"/>
        <v>150</v>
      </c>
    </row>
    <row r="13" spans="1:27" x14ac:dyDescent="0.25">
      <c r="A13" s="74">
        <f t="shared" si="5"/>
        <v>250</v>
      </c>
      <c r="B13" s="150">
        <f t="shared" si="6"/>
        <v>20</v>
      </c>
      <c r="C13" s="43">
        <v>148</v>
      </c>
      <c r="D13" s="43">
        <f t="shared" si="7"/>
        <v>1</v>
      </c>
      <c r="E13" s="133">
        <f t="shared" si="8"/>
        <v>8.8800000000000008</v>
      </c>
      <c r="F13" s="100">
        <f t="shared" si="9"/>
        <v>8.5200000000000014</v>
      </c>
      <c r="G13" s="24">
        <v>255</v>
      </c>
      <c r="H13" s="24">
        <v>200</v>
      </c>
      <c r="I13" s="72">
        <f t="shared" si="2"/>
        <v>47.058823529411768</v>
      </c>
      <c r="J13" s="101">
        <f t="shared" si="3"/>
        <v>0.94117647058823539</v>
      </c>
      <c r="K13" s="136">
        <f t="shared" si="4"/>
        <v>0.10598834128245893</v>
      </c>
      <c r="L13" s="41"/>
      <c r="M13" s="137">
        <f>I13/$I$12</f>
        <v>0.99607843137254903</v>
      </c>
      <c r="N13" s="73"/>
      <c r="O13" s="43"/>
      <c r="P13" s="43"/>
      <c r="Z13" s="40">
        <v>200</v>
      </c>
      <c r="AA13" s="40">
        <f t="shared" si="1"/>
        <v>300</v>
      </c>
    </row>
    <row r="14" spans="1:27" x14ac:dyDescent="0.25">
      <c r="A14" s="74">
        <f t="shared" si="5"/>
        <v>500</v>
      </c>
      <c r="B14" s="150">
        <f t="shared" si="6"/>
        <v>20</v>
      </c>
      <c r="C14" s="43">
        <v>175</v>
      </c>
      <c r="D14" s="43">
        <f t="shared" si="7"/>
        <v>1</v>
      </c>
      <c r="E14" s="133">
        <f t="shared" si="8"/>
        <v>10.5</v>
      </c>
      <c r="F14" s="100">
        <f t="shared" si="9"/>
        <v>10.14</v>
      </c>
      <c r="G14" s="24">
        <v>257</v>
      </c>
      <c r="H14" s="24">
        <v>200</v>
      </c>
      <c r="I14" s="72">
        <f t="shared" si="2"/>
        <v>46.692607003891048</v>
      </c>
      <c r="J14" s="101">
        <f t="shared" si="3"/>
        <v>1.8677042801556418</v>
      </c>
      <c r="K14" s="136">
        <f t="shared" si="4"/>
        <v>0.17787659811006112</v>
      </c>
      <c r="L14" s="41"/>
      <c r="M14" s="137">
        <f>I14/$I$12</f>
        <v>0.98832684824902717</v>
      </c>
      <c r="N14" s="73"/>
      <c r="O14" s="43"/>
      <c r="P14" s="43"/>
      <c r="Z14" s="40">
        <v>300</v>
      </c>
      <c r="AA14" s="40">
        <f t="shared" si="1"/>
        <v>450</v>
      </c>
    </row>
    <row r="15" spans="1:27" x14ac:dyDescent="0.25">
      <c r="A15" s="74">
        <f t="shared" si="5"/>
        <v>750</v>
      </c>
      <c r="B15" s="150">
        <f t="shared" si="6"/>
        <v>20</v>
      </c>
      <c r="C15" s="43">
        <v>234</v>
      </c>
      <c r="D15" s="43">
        <f t="shared" si="7"/>
        <v>1</v>
      </c>
      <c r="E15" s="133">
        <f t="shared" si="8"/>
        <v>14.04</v>
      </c>
      <c r="F15" s="100">
        <f t="shared" si="9"/>
        <v>13.68</v>
      </c>
      <c r="G15" s="24">
        <v>257</v>
      </c>
      <c r="H15" s="24">
        <v>200</v>
      </c>
      <c r="I15" s="72">
        <f t="shared" si="2"/>
        <v>46.692607003891048</v>
      </c>
      <c r="J15" s="101">
        <f t="shared" si="3"/>
        <v>2.8015564202334629</v>
      </c>
      <c r="K15" s="136">
        <f t="shared" si="4"/>
        <v>0.19954105557218399</v>
      </c>
      <c r="L15" s="41"/>
      <c r="M15" s="137">
        <f>I15/$I$12</f>
        <v>0.98832684824902717</v>
      </c>
      <c r="N15" s="73"/>
      <c r="O15" s="43"/>
      <c r="P15" s="43"/>
      <c r="Z15" s="40">
        <v>400</v>
      </c>
      <c r="AA15" s="40">
        <f>Z15/400*600</f>
        <v>600</v>
      </c>
    </row>
    <row r="16" spans="1:27" x14ac:dyDescent="0.25">
      <c r="A16" s="74">
        <f t="shared" si="5"/>
        <v>1000</v>
      </c>
      <c r="B16" s="150">
        <f t="shared" si="6"/>
        <v>20</v>
      </c>
      <c r="C16" s="43">
        <v>326</v>
      </c>
      <c r="D16" s="43">
        <f t="shared" si="7"/>
        <v>1</v>
      </c>
      <c r="E16" s="133">
        <f t="shared" si="8"/>
        <v>19.559999999999999</v>
      </c>
      <c r="F16" s="100">
        <f t="shared" si="9"/>
        <v>19.2</v>
      </c>
      <c r="G16" s="24">
        <v>257</v>
      </c>
      <c r="H16" s="24">
        <v>200</v>
      </c>
      <c r="I16" s="72">
        <f t="shared" si="2"/>
        <v>46.692607003891048</v>
      </c>
      <c r="J16" s="101">
        <f t="shared" si="3"/>
        <v>3.7354085603112837</v>
      </c>
      <c r="K16" s="136">
        <f>J16/E16</f>
        <v>0.19097180778687545</v>
      </c>
      <c r="L16" s="41"/>
      <c r="M16" s="137">
        <f>I16/$I$12</f>
        <v>0.98832684824902717</v>
      </c>
      <c r="N16" s="73"/>
      <c r="O16" s="43"/>
      <c r="P16" s="43"/>
    </row>
    <row r="17" spans="1:27" x14ac:dyDescent="0.25">
      <c r="A17" s="74"/>
      <c r="B17" s="74"/>
      <c r="C17" s="43"/>
      <c r="D17" s="43"/>
      <c r="E17" s="133"/>
      <c r="F17" s="100"/>
      <c r="G17" s="24"/>
      <c r="H17" s="24"/>
      <c r="I17" s="72"/>
      <c r="J17" s="101"/>
      <c r="K17" s="41"/>
      <c r="L17" s="41"/>
      <c r="M17" s="137"/>
      <c r="N17" s="73"/>
      <c r="O17" s="43"/>
      <c r="P17" s="43"/>
    </row>
    <row r="18" spans="1:27" x14ac:dyDescent="0.25">
      <c r="A18" s="74">
        <f>Q3</f>
        <v>0</v>
      </c>
      <c r="B18" s="74">
        <f>P$4</f>
        <v>136</v>
      </c>
      <c r="C18" s="43">
        <v>201</v>
      </c>
      <c r="D18" s="43">
        <f>60/60</f>
        <v>1</v>
      </c>
      <c r="E18" s="133">
        <f>60/D18*C18/1000</f>
        <v>12.06</v>
      </c>
      <c r="F18" s="100">
        <f>E18-$J$7</f>
        <v>11.700000000000001</v>
      </c>
      <c r="G18" s="24">
        <v>110</v>
      </c>
      <c r="H18" s="24">
        <v>500</v>
      </c>
      <c r="I18" s="72">
        <f t="shared" ref="I18:I22" si="10">60*H18/G18</f>
        <v>272.72727272727275</v>
      </c>
      <c r="J18" s="101">
        <f t="shared" ref="J18:J23" si="11">I18/100*A18/100*0.8</f>
        <v>0</v>
      </c>
      <c r="K18" s="136">
        <f t="shared" ref="K18:K22" si="12">J18/E18</f>
        <v>0</v>
      </c>
      <c r="L18" s="41"/>
      <c r="M18" s="137"/>
      <c r="N18" s="73"/>
      <c r="O18" s="43"/>
      <c r="P18" s="43"/>
      <c r="Q18" s="69"/>
      <c r="R18" s="70"/>
      <c r="S18" s="70"/>
    </row>
    <row r="19" spans="1:27" x14ac:dyDescent="0.25">
      <c r="A19" s="74">
        <f t="shared" ref="A19:A23" si="13">Q4</f>
        <v>100</v>
      </c>
      <c r="B19" s="74">
        <f t="shared" ref="B19:B23" si="14">P$4</f>
        <v>136</v>
      </c>
      <c r="C19" s="43">
        <v>290</v>
      </c>
      <c r="D19" s="43">
        <f t="shared" ref="D19:D23" si="15">60/60</f>
        <v>1</v>
      </c>
      <c r="E19" s="133">
        <f t="shared" ref="E19:E23" si="16">60/D19*C19/1000</f>
        <v>17.399999999999999</v>
      </c>
      <c r="F19" s="100">
        <f t="shared" ref="F19:F23" si="17">E19-$J$7</f>
        <v>17.04</v>
      </c>
      <c r="G19" s="24">
        <v>111</v>
      </c>
      <c r="H19" s="24">
        <v>500</v>
      </c>
      <c r="I19" s="72">
        <f t="shared" si="10"/>
        <v>270.27027027027026</v>
      </c>
      <c r="J19" s="101">
        <f t="shared" si="11"/>
        <v>2.1621621621621623</v>
      </c>
      <c r="K19" s="136">
        <f t="shared" si="12"/>
        <v>0.12426219322771048</v>
      </c>
      <c r="L19" s="41"/>
      <c r="M19" s="137">
        <f t="shared" ref="M19:M24" si="18">I19/$I$19</f>
        <v>1</v>
      </c>
      <c r="N19" s="73"/>
      <c r="O19" s="43"/>
      <c r="P19" s="43"/>
      <c r="Z19" s="40">
        <v>100</v>
      </c>
      <c r="AA19" s="40">
        <f t="shared" ref="AA19:AA21" si="19">Z19/400*600</f>
        <v>150</v>
      </c>
    </row>
    <row r="20" spans="1:27" x14ac:dyDescent="0.25">
      <c r="A20" s="74">
        <f t="shared" si="13"/>
        <v>250</v>
      </c>
      <c r="B20" s="74">
        <f t="shared" si="14"/>
        <v>136</v>
      </c>
      <c r="C20" s="43">
        <v>381</v>
      </c>
      <c r="D20" s="43">
        <f t="shared" si="15"/>
        <v>1</v>
      </c>
      <c r="E20" s="133">
        <f t="shared" si="16"/>
        <v>22.86</v>
      </c>
      <c r="F20" s="100">
        <f t="shared" si="17"/>
        <v>22.5</v>
      </c>
      <c r="G20" s="24">
        <v>111</v>
      </c>
      <c r="H20" s="24">
        <v>500</v>
      </c>
      <c r="I20" s="72">
        <f t="shared" si="10"/>
        <v>270.27027027027026</v>
      </c>
      <c r="J20" s="101">
        <f t="shared" si="11"/>
        <v>5.4054054054054053</v>
      </c>
      <c r="K20" s="136">
        <f t="shared" si="12"/>
        <v>0.23645692937031521</v>
      </c>
      <c r="L20" s="41"/>
      <c r="M20" s="137">
        <f t="shared" si="18"/>
        <v>1</v>
      </c>
      <c r="N20" s="73"/>
      <c r="O20" s="43"/>
      <c r="P20" s="43"/>
      <c r="Z20" s="40">
        <v>200</v>
      </c>
      <c r="AA20" s="40">
        <f t="shared" si="19"/>
        <v>300</v>
      </c>
    </row>
    <row r="21" spans="1:27" x14ac:dyDescent="0.25">
      <c r="A21" s="74">
        <f t="shared" si="13"/>
        <v>500</v>
      </c>
      <c r="B21" s="74">
        <f t="shared" si="14"/>
        <v>136</v>
      </c>
      <c r="C21" s="43">
        <v>479</v>
      </c>
      <c r="D21" s="43">
        <f t="shared" si="15"/>
        <v>1</v>
      </c>
      <c r="E21" s="133">
        <f t="shared" si="16"/>
        <v>28.74</v>
      </c>
      <c r="F21" s="100">
        <f t="shared" si="17"/>
        <v>28.38</v>
      </c>
      <c r="G21" s="24">
        <v>112</v>
      </c>
      <c r="H21" s="24">
        <v>500</v>
      </c>
      <c r="I21" s="72">
        <f t="shared" si="10"/>
        <v>267.85714285714283</v>
      </c>
      <c r="J21" s="101">
        <f t="shared" si="11"/>
        <v>10.714285714285715</v>
      </c>
      <c r="K21" s="136">
        <f t="shared" si="12"/>
        <v>0.37280047718461085</v>
      </c>
      <c r="L21" s="41"/>
      <c r="M21" s="137">
        <f t="shared" si="18"/>
        <v>0.99107142857142849</v>
      </c>
      <c r="N21" s="73"/>
      <c r="O21" s="43"/>
      <c r="P21" s="43"/>
      <c r="Z21" s="40">
        <v>300</v>
      </c>
      <c r="AA21" s="40">
        <f t="shared" si="19"/>
        <v>450</v>
      </c>
    </row>
    <row r="22" spans="1:27" x14ac:dyDescent="0.25">
      <c r="A22" s="74">
        <f t="shared" si="13"/>
        <v>750</v>
      </c>
      <c r="B22" s="74">
        <f t="shared" si="14"/>
        <v>136</v>
      </c>
      <c r="C22" s="43">
        <v>593</v>
      </c>
      <c r="D22" s="43">
        <f t="shared" si="15"/>
        <v>1</v>
      </c>
      <c r="E22" s="133">
        <f t="shared" si="16"/>
        <v>35.58</v>
      </c>
      <c r="F22" s="100">
        <f t="shared" si="17"/>
        <v>35.22</v>
      </c>
      <c r="G22" s="24">
        <v>113</v>
      </c>
      <c r="H22" s="24">
        <v>500</v>
      </c>
      <c r="I22" s="72">
        <f t="shared" si="10"/>
        <v>265.48672566371681</v>
      </c>
      <c r="J22" s="101">
        <f t="shared" si="11"/>
        <v>15.929203539823011</v>
      </c>
      <c r="K22" s="136">
        <f t="shared" si="12"/>
        <v>0.44770105508215319</v>
      </c>
      <c r="L22" s="41"/>
      <c r="M22" s="137">
        <f t="shared" si="18"/>
        <v>0.98230088495575218</v>
      </c>
      <c r="N22" s="73"/>
      <c r="O22" s="43"/>
      <c r="P22" s="43"/>
      <c r="Z22" s="40">
        <v>400</v>
      </c>
      <c r="AA22" s="40">
        <f>Z22/400*600</f>
        <v>600</v>
      </c>
    </row>
    <row r="23" spans="1:27" x14ac:dyDescent="0.25">
      <c r="A23" s="74">
        <f t="shared" si="13"/>
        <v>1000</v>
      </c>
      <c r="B23" s="74">
        <f t="shared" si="14"/>
        <v>136</v>
      </c>
      <c r="C23" s="43">
        <v>767</v>
      </c>
      <c r="D23" s="43">
        <f t="shared" si="15"/>
        <v>1</v>
      </c>
      <c r="E23" s="133">
        <f t="shared" si="16"/>
        <v>46.02</v>
      </c>
      <c r="F23" s="100">
        <f t="shared" si="17"/>
        <v>45.660000000000004</v>
      </c>
      <c r="G23" s="24">
        <v>114</v>
      </c>
      <c r="H23" s="24">
        <v>500</v>
      </c>
      <c r="I23" s="72">
        <f>60*H23/G23</f>
        <v>263.15789473684208</v>
      </c>
      <c r="J23" s="101">
        <f t="shared" si="11"/>
        <v>21.05263157894737</v>
      </c>
      <c r="K23" s="136">
        <f>J23/E23</f>
        <v>0.45746700519225053</v>
      </c>
      <c r="L23" s="41"/>
      <c r="M23" s="137">
        <f t="shared" si="18"/>
        <v>0.97368421052631571</v>
      </c>
      <c r="N23" s="73"/>
      <c r="O23" s="43"/>
      <c r="P23" s="43"/>
    </row>
    <row r="24" spans="1:27" x14ac:dyDescent="0.25">
      <c r="A24" s="150"/>
      <c r="B24" s="150"/>
      <c r="C24" s="43"/>
      <c r="D24" s="43"/>
      <c r="E24" s="133"/>
      <c r="F24" s="100"/>
      <c r="G24" s="24"/>
      <c r="H24" s="24"/>
      <c r="I24" s="72"/>
      <c r="J24" s="101"/>
      <c r="K24" s="41"/>
      <c r="L24" s="41"/>
      <c r="M24" s="137">
        <f t="shared" si="18"/>
        <v>0</v>
      </c>
      <c r="N24" s="73"/>
      <c r="O24" s="43"/>
      <c r="P24" s="43"/>
    </row>
    <row r="25" spans="1:27" x14ac:dyDescent="0.25">
      <c r="A25" s="150">
        <f>Q3</f>
        <v>0</v>
      </c>
      <c r="B25" s="150">
        <f>P$5</f>
        <v>252</v>
      </c>
      <c r="C25" s="43">
        <v>327</v>
      </c>
      <c r="D25" s="43">
        <f>60/60</f>
        <v>1</v>
      </c>
      <c r="E25" s="133">
        <f>60/D25*C25/1000</f>
        <v>19.62</v>
      </c>
      <c r="F25" s="100">
        <f>E25-$J$7</f>
        <v>19.260000000000002</v>
      </c>
      <c r="G25" s="24">
        <v>71</v>
      </c>
      <c r="H25" s="24">
        <v>600</v>
      </c>
      <c r="I25" s="72">
        <f t="shared" ref="I25:I30" si="20">60*H25/G25</f>
        <v>507.04225352112678</v>
      </c>
      <c r="J25" s="101">
        <f t="shared" ref="J25:J30" si="21">I25/100*A25/100*0.8</f>
        <v>0</v>
      </c>
      <c r="K25" s="136">
        <f t="shared" ref="K25:K29" si="22">J25/E25</f>
        <v>0</v>
      </c>
      <c r="L25" s="41"/>
      <c r="M25" s="137"/>
      <c r="N25" s="73"/>
      <c r="O25" s="43"/>
      <c r="P25" s="43"/>
      <c r="Q25" s="69"/>
      <c r="R25" s="70"/>
      <c r="S25" s="70"/>
    </row>
    <row r="26" spans="1:27" x14ac:dyDescent="0.25">
      <c r="A26" s="150">
        <f t="shared" ref="A26:A30" si="23">Q4</f>
        <v>100</v>
      </c>
      <c r="B26" s="150">
        <f t="shared" ref="B26:B30" si="24">P$5</f>
        <v>252</v>
      </c>
      <c r="C26" s="43">
        <v>547</v>
      </c>
      <c r="D26" s="43">
        <f t="shared" ref="D26:D30" si="25">60/60</f>
        <v>1</v>
      </c>
      <c r="E26" s="133">
        <f t="shared" ref="E26:E30" si="26">60/D26*C26/1000</f>
        <v>32.82</v>
      </c>
      <c r="F26" s="100">
        <f t="shared" ref="F26:F30" si="27">E26-$J$7</f>
        <v>32.46</v>
      </c>
      <c r="G26" s="24">
        <v>72</v>
      </c>
      <c r="H26" s="24">
        <v>600</v>
      </c>
      <c r="I26" s="72">
        <f t="shared" si="20"/>
        <v>500</v>
      </c>
      <c r="J26" s="101">
        <f t="shared" si="21"/>
        <v>4</v>
      </c>
      <c r="K26" s="136">
        <f t="shared" si="22"/>
        <v>0.12187690432663011</v>
      </c>
      <c r="L26" s="41"/>
      <c r="M26" s="137">
        <f>I26/$I$26</f>
        <v>1</v>
      </c>
      <c r="N26" s="73"/>
      <c r="O26" s="43"/>
      <c r="P26" s="43"/>
      <c r="Z26" s="40">
        <v>100</v>
      </c>
      <c r="AA26" s="40">
        <f t="shared" ref="AA26:AA28" si="28">Z26/400*600</f>
        <v>150</v>
      </c>
    </row>
    <row r="27" spans="1:27" x14ac:dyDescent="0.25">
      <c r="A27" s="150">
        <f t="shared" si="23"/>
        <v>250</v>
      </c>
      <c r="B27" s="150">
        <f t="shared" si="24"/>
        <v>252</v>
      </c>
      <c r="C27" s="43">
        <v>653</v>
      </c>
      <c r="D27" s="43">
        <f t="shared" si="25"/>
        <v>1</v>
      </c>
      <c r="E27" s="133">
        <f t="shared" si="26"/>
        <v>39.18</v>
      </c>
      <c r="F27" s="100">
        <f t="shared" si="27"/>
        <v>38.82</v>
      </c>
      <c r="G27" s="24">
        <v>60</v>
      </c>
      <c r="H27" s="24">
        <v>500</v>
      </c>
      <c r="I27" s="72">
        <f t="shared" si="20"/>
        <v>500</v>
      </c>
      <c r="J27" s="101">
        <f t="shared" si="21"/>
        <v>10</v>
      </c>
      <c r="K27" s="136">
        <f t="shared" si="22"/>
        <v>0.25523226135783561</v>
      </c>
      <c r="L27" s="41"/>
      <c r="M27" s="137">
        <f t="shared" ref="M27:M30" si="29">I27/$I$26</f>
        <v>1</v>
      </c>
      <c r="N27" s="73"/>
      <c r="O27" s="43"/>
      <c r="P27" s="43"/>
      <c r="Z27" s="40">
        <v>200</v>
      </c>
      <c r="AA27" s="40">
        <f t="shared" si="28"/>
        <v>300</v>
      </c>
    </row>
    <row r="28" spans="1:27" x14ac:dyDescent="0.25">
      <c r="A28" s="150">
        <f t="shared" si="23"/>
        <v>500</v>
      </c>
      <c r="B28" s="150">
        <f t="shared" si="24"/>
        <v>252</v>
      </c>
      <c r="C28" s="43">
        <v>784</v>
      </c>
      <c r="D28" s="43">
        <f t="shared" si="25"/>
        <v>1</v>
      </c>
      <c r="E28" s="133">
        <f t="shared" si="26"/>
        <v>47.04</v>
      </c>
      <c r="F28" s="100">
        <f t="shared" si="27"/>
        <v>46.68</v>
      </c>
      <c r="G28" s="24">
        <v>60</v>
      </c>
      <c r="H28" s="24">
        <v>500</v>
      </c>
      <c r="I28" s="72">
        <f t="shared" si="20"/>
        <v>500</v>
      </c>
      <c r="J28" s="101">
        <f t="shared" si="21"/>
        <v>20</v>
      </c>
      <c r="K28" s="136">
        <f t="shared" si="22"/>
        <v>0.42517006802721091</v>
      </c>
      <c r="L28" s="41"/>
      <c r="M28" s="137">
        <f t="shared" si="29"/>
        <v>1</v>
      </c>
      <c r="N28" s="73"/>
      <c r="O28" s="43"/>
      <c r="P28" s="43"/>
      <c r="Z28" s="40">
        <v>300</v>
      </c>
      <c r="AA28" s="40">
        <f t="shared" si="28"/>
        <v>450</v>
      </c>
    </row>
    <row r="29" spans="1:27" x14ac:dyDescent="0.25">
      <c r="A29" s="150">
        <f t="shared" si="23"/>
        <v>750</v>
      </c>
      <c r="B29" s="150">
        <f t="shared" si="24"/>
        <v>252</v>
      </c>
      <c r="C29" s="43">
        <v>1016</v>
      </c>
      <c r="D29" s="43">
        <f t="shared" si="25"/>
        <v>1</v>
      </c>
      <c r="E29" s="133">
        <f t="shared" si="26"/>
        <v>60.96</v>
      </c>
      <c r="F29" s="100">
        <f t="shared" si="27"/>
        <v>60.6</v>
      </c>
      <c r="G29" s="24">
        <v>73</v>
      </c>
      <c r="H29" s="24">
        <v>600</v>
      </c>
      <c r="I29" s="72">
        <f t="shared" si="20"/>
        <v>493.15068493150687</v>
      </c>
      <c r="J29" s="101">
        <f t="shared" si="21"/>
        <v>29.589041095890412</v>
      </c>
      <c r="K29" s="136">
        <f t="shared" si="22"/>
        <v>0.48538453241290047</v>
      </c>
      <c r="L29" s="41"/>
      <c r="M29" s="137">
        <f t="shared" si="29"/>
        <v>0.98630136986301375</v>
      </c>
      <c r="N29" s="73"/>
      <c r="O29" s="43"/>
      <c r="P29" s="43"/>
      <c r="Z29" s="40">
        <v>400</v>
      </c>
      <c r="AA29" s="40">
        <f>Z29/400*600</f>
        <v>600</v>
      </c>
    </row>
    <row r="30" spans="1:27" x14ac:dyDescent="0.25">
      <c r="A30" s="150">
        <f t="shared" si="23"/>
        <v>1000</v>
      </c>
      <c r="B30" s="150">
        <f t="shared" si="24"/>
        <v>252</v>
      </c>
      <c r="C30" s="43">
        <v>1241</v>
      </c>
      <c r="D30" s="43">
        <f t="shared" si="25"/>
        <v>1</v>
      </c>
      <c r="E30" s="133">
        <f t="shared" si="26"/>
        <v>74.459999999999994</v>
      </c>
      <c r="F30" s="100">
        <f t="shared" si="27"/>
        <v>74.099999999999994</v>
      </c>
      <c r="G30" s="24">
        <v>61</v>
      </c>
      <c r="H30" s="24">
        <v>500</v>
      </c>
      <c r="I30" s="72">
        <f t="shared" si="20"/>
        <v>491.80327868852459</v>
      </c>
      <c r="J30" s="101">
        <f t="shared" si="21"/>
        <v>39.344262295081975</v>
      </c>
      <c r="K30" s="136">
        <f>J30/E30</f>
        <v>0.52839460509108216</v>
      </c>
      <c r="L30" s="41"/>
      <c r="M30" s="137">
        <f t="shared" si="29"/>
        <v>0.98360655737704916</v>
      </c>
      <c r="N30" s="73"/>
      <c r="O30" s="43"/>
      <c r="P30" s="43"/>
    </row>
    <row r="31" spans="1:27" x14ac:dyDescent="0.25">
      <c r="A31" s="74"/>
      <c r="B31" s="150"/>
      <c r="C31" s="43"/>
      <c r="D31" s="43"/>
      <c r="E31" s="133"/>
      <c r="F31" s="100"/>
      <c r="G31" s="24"/>
      <c r="H31" s="24"/>
      <c r="I31" s="72"/>
      <c r="J31" s="101"/>
      <c r="K31" s="41"/>
      <c r="L31" s="41"/>
      <c r="M31" s="137"/>
      <c r="N31" s="73"/>
      <c r="O31" s="43"/>
      <c r="P31" s="43"/>
    </row>
    <row r="32" spans="1:27" x14ac:dyDescent="0.25">
      <c r="A32" s="150">
        <f>Q3</f>
        <v>0</v>
      </c>
      <c r="B32" s="150">
        <f>P$6</f>
        <v>368</v>
      </c>
      <c r="C32" s="43">
        <v>440</v>
      </c>
      <c r="D32" s="43">
        <f>60/60</f>
        <v>1</v>
      </c>
      <c r="E32" s="133">
        <f>60/D32*C32/1000</f>
        <v>26.4</v>
      </c>
      <c r="F32" s="100">
        <f>E32-$J$7</f>
        <v>26.04</v>
      </c>
      <c r="G32" s="24">
        <v>64</v>
      </c>
      <c r="H32" s="24">
        <v>800</v>
      </c>
      <c r="I32" s="72">
        <f t="shared" ref="I32:I37" si="30">60*H32/G32</f>
        <v>750</v>
      </c>
      <c r="J32" s="101">
        <f t="shared" ref="J32:J37" si="31">I32/100*A32/100*0.8</f>
        <v>0</v>
      </c>
      <c r="K32" s="136">
        <f t="shared" ref="K32:K36" si="32">J32/E32</f>
        <v>0</v>
      </c>
      <c r="L32" s="41"/>
      <c r="M32" s="137"/>
      <c r="N32" s="73"/>
      <c r="O32" s="43"/>
      <c r="P32" s="43"/>
      <c r="Q32" s="69"/>
      <c r="R32" s="70"/>
      <c r="S32" s="70"/>
    </row>
    <row r="33" spans="1:27" x14ac:dyDescent="0.25">
      <c r="A33" s="150">
        <f t="shared" ref="A33:A37" si="33">Q4</f>
        <v>100</v>
      </c>
      <c r="B33" s="150">
        <f t="shared" ref="B33:B37" si="34">P$6</f>
        <v>368</v>
      </c>
      <c r="C33" s="43">
        <v>694</v>
      </c>
      <c r="D33" s="43">
        <f t="shared" ref="D33:D37" si="35">60/60</f>
        <v>1</v>
      </c>
      <c r="E33" s="133">
        <f t="shared" ref="E33:E37" si="36">60/D33*C33/1000</f>
        <v>41.64</v>
      </c>
      <c r="F33" s="100">
        <f t="shared" ref="F33:F37" si="37">E33-$J$7</f>
        <v>41.28</v>
      </c>
      <c r="G33" s="24">
        <v>64</v>
      </c>
      <c r="H33" s="24">
        <v>800</v>
      </c>
      <c r="I33" s="72">
        <f t="shared" si="30"/>
        <v>750</v>
      </c>
      <c r="J33" s="101">
        <f t="shared" si="31"/>
        <v>6</v>
      </c>
      <c r="K33" s="136">
        <f t="shared" si="32"/>
        <v>0.14409221902017291</v>
      </c>
      <c r="L33" s="41"/>
      <c r="M33" s="137">
        <f>I33/$I$33</f>
        <v>1</v>
      </c>
      <c r="N33" s="73"/>
      <c r="O33" s="43"/>
      <c r="P33" s="43"/>
      <c r="Z33" s="40">
        <v>100</v>
      </c>
      <c r="AA33" s="40">
        <f t="shared" ref="AA33:AA35" si="38">Z33/400*600</f>
        <v>150</v>
      </c>
    </row>
    <row r="34" spans="1:27" x14ac:dyDescent="0.25">
      <c r="A34" s="150">
        <f t="shared" si="33"/>
        <v>250</v>
      </c>
      <c r="B34" s="150">
        <f t="shared" si="34"/>
        <v>368</v>
      </c>
      <c r="C34" s="43">
        <v>873</v>
      </c>
      <c r="D34" s="43">
        <f t="shared" si="35"/>
        <v>1</v>
      </c>
      <c r="E34" s="133">
        <f t="shared" si="36"/>
        <v>52.38</v>
      </c>
      <c r="F34" s="100">
        <f t="shared" si="37"/>
        <v>52.02</v>
      </c>
      <c r="G34" s="24">
        <v>65</v>
      </c>
      <c r="H34" s="24">
        <v>800</v>
      </c>
      <c r="I34" s="72">
        <f t="shared" si="30"/>
        <v>738.46153846153845</v>
      </c>
      <c r="J34" s="101">
        <f t="shared" si="31"/>
        <v>14.769230769230768</v>
      </c>
      <c r="K34" s="136">
        <f t="shared" si="32"/>
        <v>0.28196316856110665</v>
      </c>
      <c r="L34" s="41"/>
      <c r="M34" s="137">
        <f t="shared" ref="M34:M37" si="39">I34/$I$33</f>
        <v>0.98461538461538456</v>
      </c>
      <c r="N34" s="73"/>
      <c r="O34" s="43"/>
      <c r="P34" s="43"/>
      <c r="Z34" s="40">
        <v>200</v>
      </c>
      <c r="AA34" s="40">
        <f t="shared" si="38"/>
        <v>300</v>
      </c>
    </row>
    <row r="35" spans="1:27" x14ac:dyDescent="0.25">
      <c r="A35" s="150">
        <f t="shared" si="33"/>
        <v>500</v>
      </c>
      <c r="B35" s="150">
        <f t="shared" si="34"/>
        <v>368</v>
      </c>
      <c r="C35" s="43">
        <v>1082</v>
      </c>
      <c r="D35" s="43">
        <f t="shared" si="35"/>
        <v>1</v>
      </c>
      <c r="E35" s="133">
        <f t="shared" si="36"/>
        <v>64.92</v>
      </c>
      <c r="F35" s="100">
        <f t="shared" si="37"/>
        <v>64.56</v>
      </c>
      <c r="G35" s="24">
        <v>66</v>
      </c>
      <c r="H35" s="24">
        <v>800</v>
      </c>
      <c r="I35" s="72">
        <f t="shared" si="30"/>
        <v>727.27272727272725</v>
      </c>
      <c r="J35" s="101">
        <f t="shared" si="31"/>
        <v>29.09090909090909</v>
      </c>
      <c r="K35" s="136">
        <f t="shared" si="32"/>
        <v>0.44810396011874754</v>
      </c>
      <c r="L35" s="41"/>
      <c r="M35" s="137">
        <f t="shared" si="39"/>
        <v>0.96969696969696972</v>
      </c>
      <c r="N35" s="73"/>
      <c r="O35" s="43"/>
      <c r="P35" s="43"/>
      <c r="Z35" s="40">
        <v>300</v>
      </c>
      <c r="AA35" s="40">
        <f t="shared" si="38"/>
        <v>450</v>
      </c>
    </row>
    <row r="36" spans="1:27" x14ac:dyDescent="0.25">
      <c r="A36" s="150">
        <f t="shared" si="33"/>
        <v>750</v>
      </c>
      <c r="B36" s="150">
        <f t="shared" si="34"/>
        <v>368</v>
      </c>
      <c r="C36" s="43">
        <v>1346</v>
      </c>
      <c r="D36" s="43">
        <f t="shared" si="35"/>
        <v>1</v>
      </c>
      <c r="E36" s="133">
        <f t="shared" si="36"/>
        <v>80.760000000000005</v>
      </c>
      <c r="F36" s="100">
        <f t="shared" si="37"/>
        <v>80.400000000000006</v>
      </c>
      <c r="G36" s="24">
        <v>67</v>
      </c>
      <c r="H36" s="24">
        <v>800</v>
      </c>
      <c r="I36" s="72">
        <f t="shared" si="30"/>
        <v>716.41791044776119</v>
      </c>
      <c r="J36" s="101">
        <f t="shared" si="31"/>
        <v>42.985074626865675</v>
      </c>
      <c r="K36" s="136">
        <f t="shared" si="32"/>
        <v>0.53225699141735605</v>
      </c>
      <c r="L36" s="41"/>
      <c r="M36" s="137">
        <f t="shared" si="39"/>
        <v>0.95522388059701491</v>
      </c>
      <c r="N36" s="73"/>
      <c r="O36" s="43"/>
      <c r="P36" s="43"/>
      <c r="Z36" s="40">
        <v>400</v>
      </c>
      <c r="AA36" s="40">
        <f>Z36/400*600</f>
        <v>600</v>
      </c>
    </row>
    <row r="37" spans="1:27" x14ac:dyDescent="0.25">
      <c r="A37" s="150">
        <f t="shared" si="33"/>
        <v>1000</v>
      </c>
      <c r="B37" s="150">
        <f t="shared" si="34"/>
        <v>368</v>
      </c>
      <c r="C37" s="43">
        <v>1745</v>
      </c>
      <c r="D37" s="43">
        <f t="shared" si="35"/>
        <v>1</v>
      </c>
      <c r="E37" s="133">
        <f t="shared" si="36"/>
        <v>104.7</v>
      </c>
      <c r="F37" s="100">
        <f t="shared" si="37"/>
        <v>104.34</v>
      </c>
      <c r="G37" s="24">
        <v>68</v>
      </c>
      <c r="H37" s="24">
        <v>800</v>
      </c>
      <c r="I37" s="72">
        <f t="shared" si="30"/>
        <v>705.88235294117646</v>
      </c>
      <c r="J37" s="101">
        <f t="shared" si="31"/>
        <v>56.470588235294123</v>
      </c>
      <c r="K37" s="136">
        <f>J37/E37</f>
        <v>0.53935614360357331</v>
      </c>
      <c r="L37" s="41"/>
      <c r="M37" s="137">
        <f t="shared" si="39"/>
        <v>0.94117647058823528</v>
      </c>
      <c r="N37" s="73"/>
      <c r="O37" s="43"/>
      <c r="P37" s="43"/>
    </row>
    <row r="38" spans="1:27" x14ac:dyDescent="0.25">
      <c r="A38" s="150"/>
      <c r="B38" s="150"/>
      <c r="C38" s="43"/>
      <c r="D38" s="43"/>
      <c r="E38" s="133"/>
      <c r="F38" s="100"/>
      <c r="G38" s="24"/>
      <c r="H38" s="24"/>
      <c r="I38" s="72"/>
      <c r="J38" s="101"/>
      <c r="K38" s="41"/>
      <c r="L38" s="41"/>
      <c r="M38" s="137"/>
      <c r="N38" s="73"/>
      <c r="O38" s="43"/>
      <c r="P38" s="43"/>
    </row>
    <row r="39" spans="1:27" x14ac:dyDescent="0.25">
      <c r="A39" s="150">
        <f>Q3</f>
        <v>0</v>
      </c>
      <c r="B39" s="150">
        <f>P$7</f>
        <v>484</v>
      </c>
      <c r="C39" s="43">
        <v>950</v>
      </c>
      <c r="D39" s="112">
        <f>93/60</f>
        <v>1.55</v>
      </c>
      <c r="E39" s="133">
        <f>60/D39*C39/1000</f>
        <v>36.774193548387096</v>
      </c>
      <c r="F39" s="100">
        <f>E39-$J$7</f>
        <v>36.414193548387097</v>
      </c>
      <c r="G39" s="24">
        <v>62</v>
      </c>
      <c r="H39" s="24">
        <v>1000</v>
      </c>
      <c r="I39" s="72">
        <f t="shared" ref="I39:I44" si="40">60*H39/G39</f>
        <v>967.74193548387098</v>
      </c>
      <c r="J39" s="101">
        <f t="shared" ref="J39:J44" si="41">I39/100*A39/100*0.8</f>
        <v>0</v>
      </c>
      <c r="K39" s="136">
        <f t="shared" ref="K39:K43" si="42">J39/E39</f>
        <v>0</v>
      </c>
      <c r="L39" s="41"/>
      <c r="M39" s="137"/>
      <c r="N39" s="73"/>
      <c r="O39" s="43"/>
      <c r="P39" s="43"/>
      <c r="Q39" s="69"/>
      <c r="R39" s="70"/>
      <c r="S39" s="70"/>
    </row>
    <row r="40" spans="1:27" x14ac:dyDescent="0.25">
      <c r="A40" s="150">
        <f t="shared" ref="A40:A44" si="43">Q4</f>
        <v>100</v>
      </c>
      <c r="B40" s="150">
        <f t="shared" ref="B40:B44" si="44">P$7</f>
        <v>484</v>
      </c>
      <c r="C40" s="43">
        <v>1352</v>
      </c>
      <c r="D40" s="112">
        <f>83/60</f>
        <v>1.3833333333333333</v>
      </c>
      <c r="E40" s="133">
        <f t="shared" ref="E40:E44" si="45">60/D40*C40/1000</f>
        <v>58.640963855421688</v>
      </c>
      <c r="F40" s="100">
        <f t="shared" ref="F40:F44" si="46">E40-$J$7</f>
        <v>58.280963855421689</v>
      </c>
      <c r="G40" s="24">
        <v>62</v>
      </c>
      <c r="H40" s="24">
        <v>1000</v>
      </c>
      <c r="I40" s="72">
        <f t="shared" si="40"/>
        <v>967.74193548387098</v>
      </c>
      <c r="J40" s="101">
        <f t="shared" si="41"/>
        <v>7.741935483870968</v>
      </c>
      <c r="K40" s="136">
        <f t="shared" si="42"/>
        <v>0.13202265063307247</v>
      </c>
      <c r="L40" s="41"/>
      <c r="M40" s="137">
        <f>I40/$I$40</f>
        <v>1</v>
      </c>
      <c r="N40" s="73"/>
      <c r="O40" s="43"/>
      <c r="P40" s="43"/>
      <c r="Z40" s="40">
        <v>100</v>
      </c>
      <c r="AA40" s="40">
        <f t="shared" ref="AA40:AA42" si="47">Z40/400*600</f>
        <v>150</v>
      </c>
    </row>
    <row r="41" spans="1:27" x14ac:dyDescent="0.25">
      <c r="A41" s="150">
        <f t="shared" si="43"/>
        <v>250</v>
      </c>
      <c r="B41" s="150">
        <f t="shared" si="44"/>
        <v>484</v>
      </c>
      <c r="C41" s="43">
        <v>1173</v>
      </c>
      <c r="D41" s="112">
        <f t="shared" ref="D41:D43" si="48">60/60</f>
        <v>1</v>
      </c>
      <c r="E41" s="133">
        <f t="shared" si="45"/>
        <v>70.38</v>
      </c>
      <c r="F41" s="100">
        <f t="shared" si="46"/>
        <v>70.02</v>
      </c>
      <c r="G41" s="24">
        <v>69</v>
      </c>
      <c r="H41" s="24">
        <v>1000</v>
      </c>
      <c r="I41" s="72">
        <f t="shared" si="40"/>
        <v>869.56521739130437</v>
      </c>
      <c r="J41" s="101">
        <f t="shared" si="41"/>
        <v>17.391304347826086</v>
      </c>
      <c r="K41" s="136">
        <f t="shared" si="42"/>
        <v>0.24710577362640079</v>
      </c>
      <c r="L41" s="41"/>
      <c r="M41" s="137">
        <f t="shared" ref="M41:M44" si="49">I41/$I$40</f>
        <v>0.89855072463768115</v>
      </c>
      <c r="N41" s="73"/>
      <c r="O41" s="43"/>
      <c r="P41" s="43"/>
      <c r="Z41" s="40">
        <v>200</v>
      </c>
      <c r="AA41" s="40">
        <f t="shared" si="47"/>
        <v>300</v>
      </c>
    </row>
    <row r="42" spans="1:27" x14ac:dyDescent="0.25">
      <c r="A42" s="150">
        <f t="shared" si="43"/>
        <v>500</v>
      </c>
      <c r="B42" s="150">
        <f t="shared" si="44"/>
        <v>484</v>
      </c>
      <c r="C42" s="43">
        <v>1405</v>
      </c>
      <c r="D42" s="112">
        <f t="shared" si="48"/>
        <v>1</v>
      </c>
      <c r="E42" s="133">
        <f t="shared" si="45"/>
        <v>84.3</v>
      </c>
      <c r="F42" s="100">
        <f t="shared" si="46"/>
        <v>83.94</v>
      </c>
      <c r="G42" s="24">
        <v>69</v>
      </c>
      <c r="H42" s="24">
        <v>1000</v>
      </c>
      <c r="I42" s="72">
        <f t="shared" si="40"/>
        <v>869.56521739130437</v>
      </c>
      <c r="J42" s="101">
        <f t="shared" si="41"/>
        <v>34.782608695652172</v>
      </c>
      <c r="K42" s="136">
        <f t="shared" si="42"/>
        <v>0.41260508535767704</v>
      </c>
      <c r="L42" s="41"/>
      <c r="M42" s="137">
        <f t="shared" si="49"/>
        <v>0.89855072463768115</v>
      </c>
      <c r="N42" s="73"/>
      <c r="O42" s="43"/>
      <c r="P42" s="43"/>
      <c r="Z42" s="40">
        <v>300</v>
      </c>
      <c r="AA42" s="40">
        <f t="shared" si="47"/>
        <v>450</v>
      </c>
    </row>
    <row r="43" spans="1:27" x14ac:dyDescent="0.25">
      <c r="A43" s="150">
        <f t="shared" si="43"/>
        <v>750</v>
      </c>
      <c r="B43" s="150">
        <f t="shared" si="44"/>
        <v>484</v>
      </c>
      <c r="C43" s="43">
        <v>1692</v>
      </c>
      <c r="D43" s="112">
        <f t="shared" si="48"/>
        <v>1</v>
      </c>
      <c r="E43" s="133">
        <f t="shared" si="45"/>
        <v>101.52</v>
      </c>
      <c r="F43" s="100">
        <f t="shared" si="46"/>
        <v>101.16</v>
      </c>
      <c r="G43" s="24">
        <v>70</v>
      </c>
      <c r="H43" s="24">
        <v>1000</v>
      </c>
      <c r="I43" s="72">
        <f t="shared" si="40"/>
        <v>857.14285714285711</v>
      </c>
      <c r="J43" s="101">
        <f t="shared" si="41"/>
        <v>51.428571428571423</v>
      </c>
      <c r="K43" s="136">
        <f t="shared" si="42"/>
        <v>0.50658561296859161</v>
      </c>
      <c r="L43" s="41"/>
      <c r="M43" s="137">
        <f t="shared" si="49"/>
        <v>0.88571428571428568</v>
      </c>
      <c r="N43" s="73"/>
      <c r="O43" s="43"/>
      <c r="P43" s="43"/>
      <c r="Z43" s="40">
        <v>400</v>
      </c>
      <c r="AA43" s="40">
        <f>Z43/400*600</f>
        <v>600</v>
      </c>
    </row>
    <row r="44" spans="1:27" x14ac:dyDescent="0.25">
      <c r="A44" s="150">
        <f t="shared" si="43"/>
        <v>1000</v>
      </c>
      <c r="B44" s="150">
        <f t="shared" si="44"/>
        <v>484</v>
      </c>
      <c r="C44" s="43">
        <v>2174</v>
      </c>
      <c r="D44" s="112">
        <f>60/60</f>
        <v>1</v>
      </c>
      <c r="E44" s="133">
        <f t="shared" si="45"/>
        <v>130.44</v>
      </c>
      <c r="F44" s="100">
        <f t="shared" si="46"/>
        <v>130.07999999999998</v>
      </c>
      <c r="G44" s="24">
        <v>65</v>
      </c>
      <c r="H44" s="24">
        <v>1000</v>
      </c>
      <c r="I44" s="72">
        <f t="shared" si="40"/>
        <v>923.07692307692309</v>
      </c>
      <c r="J44" s="101">
        <f t="shared" si="41"/>
        <v>73.846153846153854</v>
      </c>
      <c r="K44" s="136">
        <f>J44/E44</f>
        <v>0.56613120090581004</v>
      </c>
      <c r="L44" s="41"/>
      <c r="M44" s="137">
        <f t="shared" si="49"/>
        <v>0.9538461538461539</v>
      </c>
      <c r="N44" s="73"/>
      <c r="O44" s="43"/>
      <c r="P44" s="43"/>
    </row>
    <row r="45" spans="1:27" x14ac:dyDescent="0.25">
      <c r="A45" s="74"/>
      <c r="B45" s="150"/>
      <c r="C45" s="43"/>
      <c r="D45" s="112"/>
      <c r="E45" s="133"/>
      <c r="F45" s="100"/>
      <c r="G45" s="24"/>
      <c r="H45" s="24"/>
      <c r="I45" s="72"/>
      <c r="J45" s="101"/>
      <c r="K45" s="41"/>
      <c r="L45" s="41"/>
      <c r="M45" s="137"/>
      <c r="N45" s="73"/>
      <c r="O45" s="43"/>
      <c r="P45" s="43"/>
    </row>
    <row r="46" spans="1:27" x14ac:dyDescent="0.25">
      <c r="A46" s="150">
        <f>Q3</f>
        <v>0</v>
      </c>
      <c r="B46" s="150">
        <f>P$8</f>
        <v>600</v>
      </c>
      <c r="C46" s="43">
        <v>1156</v>
      </c>
      <c r="D46" s="112">
        <v>1.4666666666666666</v>
      </c>
      <c r="E46" s="133">
        <f>60/D46*C46/1000</f>
        <v>47.290909090909096</v>
      </c>
      <c r="F46" s="100">
        <f>E46-$J$7</f>
        <v>46.930909090909097</v>
      </c>
      <c r="G46" s="24">
        <v>64</v>
      </c>
      <c r="H46" s="24">
        <v>1300</v>
      </c>
      <c r="I46" s="72">
        <f t="shared" ref="I46:I51" si="50">60*H46/G46</f>
        <v>1218.75</v>
      </c>
      <c r="J46" s="101">
        <f t="shared" ref="J46:J51" si="51">I46/100*A46/100*0.8</f>
        <v>0</v>
      </c>
      <c r="K46" s="136">
        <f t="shared" ref="K46:K50" si="52">J46/E46</f>
        <v>0</v>
      </c>
      <c r="L46" s="41"/>
      <c r="M46" s="137"/>
      <c r="N46" s="73"/>
      <c r="O46" s="43"/>
      <c r="P46" s="43"/>
      <c r="Q46" s="69"/>
      <c r="R46" s="70"/>
      <c r="S46" s="70"/>
    </row>
    <row r="47" spans="1:27" x14ac:dyDescent="0.25">
      <c r="A47" s="150">
        <f t="shared" ref="A47:A51" si="53">Q4</f>
        <v>100</v>
      </c>
      <c r="B47" s="150">
        <f t="shared" ref="B47:B51" si="54">P$8</f>
        <v>600</v>
      </c>
      <c r="C47" s="43">
        <v>1874</v>
      </c>
      <c r="D47" s="112">
        <v>1.5</v>
      </c>
      <c r="E47" s="133">
        <f t="shared" ref="E47:E51" si="55">60/D47*C47/1000</f>
        <v>74.959999999999994</v>
      </c>
      <c r="F47" s="100">
        <f t="shared" ref="F47:F51" si="56">E47-$J$7</f>
        <v>74.599999999999994</v>
      </c>
      <c r="G47" s="24">
        <v>64</v>
      </c>
      <c r="H47" s="24">
        <v>1300</v>
      </c>
      <c r="I47" s="72">
        <f t="shared" si="50"/>
        <v>1218.75</v>
      </c>
      <c r="J47" s="101">
        <f t="shared" si="51"/>
        <v>9.75</v>
      </c>
      <c r="K47" s="136">
        <f t="shared" si="52"/>
        <v>0.13006937033084312</v>
      </c>
      <c r="L47" s="41"/>
      <c r="M47" s="137">
        <f>I47/$I$47</f>
        <v>1</v>
      </c>
      <c r="N47" s="73"/>
      <c r="O47" s="43"/>
      <c r="P47" s="43"/>
      <c r="R47" s="70"/>
      <c r="Z47" s="40">
        <v>100</v>
      </c>
      <c r="AA47" s="40">
        <f t="shared" ref="AA47:AA49" si="57">Z47/400*600</f>
        <v>150</v>
      </c>
    </row>
    <row r="48" spans="1:27" x14ac:dyDescent="0.25">
      <c r="A48" s="150">
        <f t="shared" si="53"/>
        <v>250</v>
      </c>
      <c r="B48" s="150">
        <f t="shared" si="54"/>
        <v>600</v>
      </c>
      <c r="C48" s="43">
        <v>2596</v>
      </c>
      <c r="D48" s="112">
        <v>1.7333333333333334</v>
      </c>
      <c r="E48" s="133">
        <f t="shared" si="55"/>
        <v>89.861538461538458</v>
      </c>
      <c r="F48" s="100">
        <f t="shared" si="56"/>
        <v>89.501538461538459</v>
      </c>
      <c r="G48" s="24">
        <v>65</v>
      </c>
      <c r="H48" s="24">
        <v>1300</v>
      </c>
      <c r="I48" s="72">
        <f t="shared" si="50"/>
        <v>1200</v>
      </c>
      <c r="J48" s="101">
        <f t="shared" si="51"/>
        <v>24</v>
      </c>
      <c r="K48" s="136">
        <f t="shared" si="52"/>
        <v>0.26707755521314847</v>
      </c>
      <c r="L48" s="41"/>
      <c r="M48" s="137">
        <f t="shared" ref="M48:M51" si="58">I48/$I$47</f>
        <v>0.98461538461538467</v>
      </c>
      <c r="N48" s="73"/>
      <c r="O48" s="43"/>
      <c r="P48" s="43"/>
      <c r="R48" s="70"/>
      <c r="Z48" s="40">
        <v>200</v>
      </c>
      <c r="AA48" s="40">
        <f t="shared" si="57"/>
        <v>300</v>
      </c>
    </row>
    <row r="49" spans="1:27" x14ac:dyDescent="0.25">
      <c r="A49" s="150">
        <f t="shared" si="53"/>
        <v>500</v>
      </c>
      <c r="B49" s="150">
        <f t="shared" si="54"/>
        <v>600</v>
      </c>
      <c r="C49" s="43">
        <v>4190</v>
      </c>
      <c r="D49" s="112">
        <v>2.4</v>
      </c>
      <c r="E49" s="133">
        <f t="shared" si="55"/>
        <v>104.75</v>
      </c>
      <c r="F49" s="100">
        <f t="shared" si="56"/>
        <v>104.39</v>
      </c>
      <c r="G49" s="24">
        <v>64</v>
      </c>
      <c r="H49" s="24">
        <v>1300</v>
      </c>
      <c r="I49" s="72">
        <f t="shared" si="50"/>
        <v>1218.75</v>
      </c>
      <c r="J49" s="101">
        <f t="shared" si="51"/>
        <v>48.75</v>
      </c>
      <c r="K49" s="136">
        <f t="shared" si="52"/>
        <v>0.46539379474940334</v>
      </c>
      <c r="L49" s="41"/>
      <c r="M49" s="137">
        <f t="shared" si="58"/>
        <v>1</v>
      </c>
      <c r="N49" s="73"/>
      <c r="O49" s="43"/>
      <c r="P49" s="43"/>
      <c r="R49" s="70"/>
      <c r="Z49" s="40">
        <v>300</v>
      </c>
      <c r="AA49" s="40">
        <f t="shared" si="57"/>
        <v>450</v>
      </c>
    </row>
    <row r="50" spans="1:27" x14ac:dyDescent="0.25">
      <c r="A50" s="150">
        <f t="shared" si="53"/>
        <v>750</v>
      </c>
      <c r="B50" s="150">
        <f t="shared" si="54"/>
        <v>600</v>
      </c>
      <c r="C50" s="43">
        <v>2195</v>
      </c>
      <c r="D50" s="112">
        <v>1</v>
      </c>
      <c r="E50" s="133">
        <f t="shared" si="55"/>
        <v>131.69999999999999</v>
      </c>
      <c r="F50" s="100">
        <f t="shared" si="56"/>
        <v>131.33999999999997</v>
      </c>
      <c r="G50" s="24">
        <v>61</v>
      </c>
      <c r="H50" s="24">
        <v>1200</v>
      </c>
      <c r="I50" s="72">
        <f t="shared" si="50"/>
        <v>1180.327868852459</v>
      </c>
      <c r="J50" s="101">
        <f t="shared" si="51"/>
        <v>70.819672131147541</v>
      </c>
      <c r="K50" s="136">
        <f t="shared" si="52"/>
        <v>0.53773479218790854</v>
      </c>
      <c r="L50" s="41"/>
      <c r="M50" s="137">
        <f t="shared" si="58"/>
        <v>0.96847414880201765</v>
      </c>
      <c r="N50" s="73"/>
      <c r="O50" s="43"/>
      <c r="P50" s="43"/>
      <c r="R50" s="70"/>
      <c r="Z50" s="40">
        <v>400</v>
      </c>
      <c r="AA50" s="40">
        <f>Z50/400*600</f>
        <v>600</v>
      </c>
    </row>
    <row r="51" spans="1:27" x14ac:dyDescent="0.25">
      <c r="A51" s="150">
        <f t="shared" si="53"/>
        <v>1000</v>
      </c>
      <c r="B51" s="150">
        <f t="shared" si="54"/>
        <v>600</v>
      </c>
      <c r="C51" s="43">
        <v>2788</v>
      </c>
      <c r="D51" s="112">
        <v>1</v>
      </c>
      <c r="E51" s="133">
        <f t="shared" si="55"/>
        <v>167.28</v>
      </c>
      <c r="F51" s="100">
        <f t="shared" si="56"/>
        <v>166.92</v>
      </c>
      <c r="G51" s="24">
        <v>62</v>
      </c>
      <c r="H51" s="24">
        <v>1200</v>
      </c>
      <c r="I51" s="72">
        <f t="shared" si="50"/>
        <v>1161.2903225806451</v>
      </c>
      <c r="J51" s="101">
        <f t="shared" si="51"/>
        <v>92.90322580645163</v>
      </c>
      <c r="K51" s="136">
        <f>J51/E51</f>
        <v>0.55537557273105953</v>
      </c>
      <c r="L51" s="41"/>
      <c r="M51" s="137">
        <f t="shared" si="58"/>
        <v>0.95285359801488834</v>
      </c>
      <c r="N51" s="73"/>
      <c r="O51" s="43"/>
      <c r="P51" s="43"/>
      <c r="R51" s="70"/>
    </row>
    <row r="52" spans="1:27" x14ac:dyDescent="0.25">
      <c r="A52" s="43"/>
      <c r="B52" s="150"/>
      <c r="C52" s="41"/>
      <c r="D52" s="41"/>
      <c r="E52" s="41"/>
      <c r="F52" s="75"/>
      <c r="G52" s="41"/>
      <c r="H52" s="43"/>
      <c r="I52" s="76"/>
      <c r="J52" s="71"/>
      <c r="K52" s="41"/>
      <c r="L52" s="41"/>
      <c r="M52" s="137"/>
      <c r="N52" s="73"/>
      <c r="O52" s="43"/>
      <c r="P52" s="43"/>
    </row>
    <row r="53" spans="1:27" x14ac:dyDescent="0.25">
      <c r="A53" s="43"/>
      <c r="B53" s="74"/>
      <c r="C53" s="41"/>
      <c r="D53" s="41"/>
      <c r="E53" s="41"/>
      <c r="F53" s="41"/>
      <c r="G53" s="41"/>
      <c r="H53" s="43"/>
      <c r="I53" s="76"/>
      <c r="J53" s="71"/>
      <c r="K53" s="41"/>
      <c r="L53" s="41"/>
      <c r="M53" s="137"/>
      <c r="N53" s="73"/>
      <c r="O53" s="43"/>
      <c r="P53" s="43"/>
    </row>
    <row r="54" spans="1:27" x14ac:dyDescent="0.25">
      <c r="A54" s="43"/>
      <c r="B54" s="150"/>
      <c r="C54" s="41"/>
      <c r="D54" s="41"/>
      <c r="E54" s="41"/>
      <c r="F54" s="41"/>
      <c r="G54" s="41"/>
      <c r="H54" s="43"/>
      <c r="I54" s="76"/>
      <c r="J54" s="71"/>
      <c r="K54" s="41"/>
      <c r="L54" s="41"/>
      <c r="M54" s="137"/>
      <c r="N54" s="73"/>
      <c r="O54" s="43"/>
      <c r="P54" s="43"/>
    </row>
    <row r="55" spans="1:27" x14ac:dyDescent="0.25">
      <c r="A55" s="47"/>
      <c r="B55" s="150"/>
      <c r="C55" s="41"/>
      <c r="D55" s="41"/>
      <c r="E55" s="41"/>
      <c r="F55" s="41"/>
      <c r="G55" s="41"/>
      <c r="H55" s="43"/>
      <c r="I55" s="76"/>
      <c r="J55" s="71"/>
      <c r="K55" s="41"/>
      <c r="L55" s="41"/>
      <c r="M55" s="137"/>
      <c r="N55" s="73"/>
      <c r="O55" s="43"/>
      <c r="P55" s="43"/>
    </row>
    <row r="56" spans="1:27" x14ac:dyDescent="0.25">
      <c r="A56" s="71"/>
      <c r="B56" s="74"/>
      <c r="C56" s="41"/>
      <c r="D56" s="41"/>
      <c r="E56" s="41"/>
      <c r="F56" s="41"/>
      <c r="G56" s="41"/>
      <c r="H56" s="43"/>
      <c r="I56" s="76"/>
      <c r="J56" s="71"/>
      <c r="K56" s="41"/>
      <c r="L56" s="41"/>
      <c r="M56" s="137"/>
      <c r="N56" s="73"/>
      <c r="O56" s="43"/>
      <c r="P56" s="43"/>
    </row>
    <row r="57" spans="1:27" x14ac:dyDescent="0.25">
      <c r="A57" s="47"/>
      <c r="B57" s="150"/>
      <c r="C57" s="41"/>
      <c r="D57" s="41"/>
      <c r="E57" s="41"/>
      <c r="F57" s="41"/>
      <c r="G57" s="41"/>
      <c r="H57" s="43"/>
      <c r="I57" s="43"/>
      <c r="J57" s="47"/>
      <c r="K57" s="41"/>
      <c r="L57" s="41"/>
      <c r="M57" s="137"/>
      <c r="N57" s="73"/>
      <c r="O57" s="43"/>
      <c r="P57" s="43"/>
    </row>
    <row r="58" spans="1:27" x14ac:dyDescent="0.25">
      <c r="A58" s="47"/>
      <c r="B58" s="150"/>
      <c r="C58" s="41"/>
      <c r="D58" s="41"/>
      <c r="E58" s="41"/>
      <c r="F58" s="41"/>
      <c r="G58" s="136"/>
      <c r="H58" s="43"/>
      <c r="I58" s="43"/>
      <c r="J58" s="47"/>
      <c r="K58" s="41"/>
      <c r="L58" s="41"/>
      <c r="M58" s="137"/>
      <c r="N58" s="73"/>
      <c r="O58" s="43"/>
      <c r="P58" s="43"/>
    </row>
    <row r="59" spans="1:27" x14ac:dyDescent="0.25">
      <c r="A59" s="47"/>
      <c r="B59" s="150"/>
      <c r="C59" s="41"/>
      <c r="D59" s="41"/>
      <c r="E59" s="41"/>
      <c r="F59" s="41"/>
      <c r="G59" s="41"/>
      <c r="H59" s="43"/>
      <c r="I59" s="43"/>
      <c r="J59" s="47"/>
      <c r="K59" s="41"/>
      <c r="L59" s="41"/>
      <c r="M59" s="137"/>
      <c r="N59" s="73"/>
      <c r="O59" s="43"/>
      <c r="P59" s="43"/>
    </row>
    <row r="60" spans="1:27" x14ac:dyDescent="0.25">
      <c r="A60" s="47"/>
      <c r="B60" s="150"/>
      <c r="C60" s="41"/>
      <c r="D60" s="41"/>
      <c r="E60" s="41"/>
      <c r="F60" s="41"/>
      <c r="G60" s="41"/>
      <c r="H60" s="43"/>
      <c r="I60" s="43"/>
      <c r="J60" s="47"/>
      <c r="K60" s="41"/>
      <c r="L60" s="41"/>
      <c r="M60" s="137"/>
      <c r="N60" s="73"/>
      <c r="O60" s="43"/>
      <c r="P60" s="43"/>
    </row>
    <row r="61" spans="1:27" x14ac:dyDescent="0.25">
      <c r="A61" s="47"/>
      <c r="B61" s="150"/>
      <c r="C61" s="41"/>
      <c r="D61" s="41"/>
      <c r="E61" s="41"/>
      <c r="F61" s="41"/>
      <c r="G61" s="41"/>
      <c r="H61" s="43"/>
      <c r="I61" s="43"/>
      <c r="J61" s="47"/>
      <c r="K61" s="41"/>
      <c r="L61" s="41"/>
      <c r="M61" s="137"/>
      <c r="N61" s="73"/>
      <c r="O61" s="43"/>
      <c r="P61" s="43"/>
    </row>
    <row r="63" spans="1:27" x14ac:dyDescent="0.25">
      <c r="L63" s="80" t="s">
        <v>17</v>
      </c>
      <c r="M63" s="125"/>
      <c r="N63" s="123" t="s">
        <v>228</v>
      </c>
    </row>
    <row r="64" spans="1:27" x14ac:dyDescent="0.25">
      <c r="K64" s="79" t="s">
        <v>176</v>
      </c>
      <c r="L64" s="81">
        <f>B11</f>
        <v>20</v>
      </c>
      <c r="M64" s="80">
        <f>B18</f>
        <v>136</v>
      </c>
      <c r="N64" s="80">
        <f>B25</f>
        <v>252</v>
      </c>
      <c r="O64" s="80">
        <f>B32</f>
        <v>368</v>
      </c>
      <c r="P64" s="80">
        <f>B39</f>
        <v>484</v>
      </c>
      <c r="Q64" s="80">
        <f>B46</f>
        <v>600</v>
      </c>
    </row>
    <row r="65" spans="1:18" x14ac:dyDescent="0.25">
      <c r="K65" s="82">
        <f>Q3</f>
        <v>0</v>
      </c>
      <c r="L65" s="140">
        <f>I11</f>
        <v>47.61904761904762</v>
      </c>
      <c r="M65" s="93">
        <f>I18</f>
        <v>272.72727272727275</v>
      </c>
      <c r="N65" s="93">
        <f>I25</f>
        <v>507.04225352112678</v>
      </c>
      <c r="O65" s="93">
        <f>I32</f>
        <v>750</v>
      </c>
      <c r="P65" s="93">
        <f>I39</f>
        <v>967.74193548387098</v>
      </c>
      <c r="Q65" s="93">
        <f>I46</f>
        <v>1218.75</v>
      </c>
    </row>
    <row r="66" spans="1:18" x14ac:dyDescent="0.25">
      <c r="K66" s="82">
        <f t="shared" ref="K66:K70" si="59">Q4</f>
        <v>100</v>
      </c>
      <c r="L66" s="140">
        <f t="shared" ref="L66:L70" si="60">I12</f>
        <v>47.244094488188978</v>
      </c>
      <c r="M66" s="93">
        <f t="shared" ref="M66:M70" si="61">I19</f>
        <v>270.27027027027026</v>
      </c>
      <c r="N66" s="93">
        <f t="shared" ref="N66:N70" si="62">I26</f>
        <v>500</v>
      </c>
      <c r="O66" s="93">
        <f t="shared" ref="O66:O70" si="63">I33</f>
        <v>750</v>
      </c>
      <c r="P66" s="93">
        <f t="shared" ref="P66:P70" si="64">I40</f>
        <v>967.74193548387098</v>
      </c>
      <c r="Q66" s="93">
        <f t="shared" ref="Q66:Q70" si="65">I47</f>
        <v>1218.75</v>
      </c>
    </row>
    <row r="67" spans="1:18" x14ac:dyDescent="0.25">
      <c r="K67" s="82">
        <f t="shared" si="59"/>
        <v>250</v>
      </c>
      <c r="L67" s="140">
        <f t="shared" si="60"/>
        <v>47.058823529411768</v>
      </c>
      <c r="M67" s="93">
        <f t="shared" si="61"/>
        <v>270.27027027027026</v>
      </c>
      <c r="N67" s="93">
        <f t="shared" si="62"/>
        <v>500</v>
      </c>
      <c r="O67" s="93">
        <f t="shared" si="63"/>
        <v>738.46153846153845</v>
      </c>
      <c r="P67" s="93">
        <f t="shared" si="64"/>
        <v>869.56521739130437</v>
      </c>
      <c r="Q67" s="93">
        <f t="shared" si="65"/>
        <v>1200</v>
      </c>
    </row>
    <row r="68" spans="1:18" x14ac:dyDescent="0.25">
      <c r="K68" s="82">
        <f t="shared" si="59"/>
        <v>500</v>
      </c>
      <c r="L68" s="140">
        <f t="shared" si="60"/>
        <v>46.692607003891048</v>
      </c>
      <c r="M68" s="93">
        <f t="shared" si="61"/>
        <v>267.85714285714283</v>
      </c>
      <c r="N68" s="93">
        <f t="shared" si="62"/>
        <v>500</v>
      </c>
      <c r="O68" s="93">
        <f t="shared" si="63"/>
        <v>727.27272727272725</v>
      </c>
      <c r="P68" s="93">
        <f t="shared" si="64"/>
        <v>869.56521739130437</v>
      </c>
      <c r="Q68" s="93">
        <f t="shared" si="65"/>
        <v>1218.75</v>
      </c>
    </row>
    <row r="69" spans="1:18" x14ac:dyDescent="0.25">
      <c r="K69" s="82">
        <f t="shared" si="59"/>
        <v>750</v>
      </c>
      <c r="L69" s="140">
        <f t="shared" si="60"/>
        <v>46.692607003891048</v>
      </c>
      <c r="M69" s="93">
        <f t="shared" si="61"/>
        <v>265.48672566371681</v>
      </c>
      <c r="N69" s="93">
        <f t="shared" si="62"/>
        <v>493.15068493150687</v>
      </c>
      <c r="O69" s="93">
        <f t="shared" si="63"/>
        <v>716.41791044776119</v>
      </c>
      <c r="P69" s="93">
        <f t="shared" si="64"/>
        <v>857.14285714285711</v>
      </c>
      <c r="Q69" s="93">
        <f t="shared" si="65"/>
        <v>1180.327868852459</v>
      </c>
    </row>
    <row r="70" spans="1:18" x14ac:dyDescent="0.25">
      <c r="K70" s="82">
        <f t="shared" si="59"/>
        <v>1000</v>
      </c>
      <c r="L70" s="140">
        <f t="shared" si="60"/>
        <v>46.692607003891048</v>
      </c>
      <c r="M70" s="93">
        <f t="shared" si="61"/>
        <v>263.15789473684208</v>
      </c>
      <c r="N70" s="93">
        <f t="shared" si="62"/>
        <v>491.80327868852459</v>
      </c>
      <c r="O70" s="93">
        <f t="shared" si="63"/>
        <v>705.88235294117646</v>
      </c>
      <c r="P70" s="93">
        <f t="shared" si="64"/>
        <v>923.07692307692309</v>
      </c>
      <c r="Q70" s="93">
        <f t="shared" si="65"/>
        <v>1161.2903225806451</v>
      </c>
    </row>
    <row r="71" spans="1:18" x14ac:dyDescent="0.25">
      <c r="K71" s="83"/>
      <c r="M71" s="125"/>
    </row>
    <row r="72" spans="1:18" x14ac:dyDescent="0.25">
      <c r="K72" s="123">
        <f>B80</f>
        <v>2040</v>
      </c>
      <c r="L72" s="40">
        <f t="shared" ref="L72:Q72" si="66">_xlfn.FORECAST.LINEAR($B$80,L65:L70,$K$65:$K$70)</f>
        <v>45.617680693688371</v>
      </c>
      <c r="M72" s="40">
        <f t="shared" si="66"/>
        <v>253.94994948009114</v>
      </c>
      <c r="N72" s="40">
        <f t="shared" si="66"/>
        <v>477.7643938915499</v>
      </c>
      <c r="O72" s="40">
        <f t="shared" si="66"/>
        <v>657.11300504722533</v>
      </c>
      <c r="P72" s="40">
        <f t="shared" si="66"/>
        <v>805.5794292787034</v>
      </c>
      <c r="Q72" s="40">
        <f t="shared" si="66"/>
        <v>1112.1643637298712</v>
      </c>
      <c r="R72" s="123" t="s">
        <v>25</v>
      </c>
    </row>
    <row r="73" spans="1:18" x14ac:dyDescent="0.25">
      <c r="J73" s="123" t="s">
        <v>25</v>
      </c>
      <c r="K73" s="94">
        <f>B79</f>
        <v>9.463519999999999</v>
      </c>
      <c r="L73" s="95">
        <f>_xlfn.FORECAST.LINEAR(K73,L64:Q64,L72:Q72)</f>
        <v>1.3227375923460061</v>
      </c>
      <c r="M73" s="125" t="s">
        <v>17</v>
      </c>
    </row>
    <row r="77" spans="1:18" x14ac:dyDescent="0.25">
      <c r="A77" s="49" t="s">
        <v>229</v>
      </c>
      <c r="B77" s="78">
        <v>1230</v>
      </c>
      <c r="C77" s="40" t="s">
        <v>25</v>
      </c>
      <c r="M77" s="125"/>
    </row>
    <row r="78" spans="1:18" x14ac:dyDescent="0.25">
      <c r="B78" s="77">
        <v>600</v>
      </c>
      <c r="C78" s="40" t="s">
        <v>17</v>
      </c>
      <c r="M78" s="125"/>
    </row>
    <row r="79" spans="1:18" x14ac:dyDescent="0.25">
      <c r="A79" s="40" t="s">
        <v>230</v>
      </c>
      <c r="B79" s="78">
        <f>Q</f>
        <v>9.463519999999999</v>
      </c>
      <c r="C79" s="40" t="s">
        <v>25</v>
      </c>
      <c r="M79" s="125"/>
    </row>
    <row r="80" spans="1:18" x14ac:dyDescent="0.25">
      <c r="A80" s="40" t="s">
        <v>231</v>
      </c>
      <c r="B80" s="78">
        <f>Pavg</f>
        <v>2040</v>
      </c>
      <c r="C80" s="40">
        <v>1000</v>
      </c>
      <c r="D80" s="40" t="s">
        <v>232</v>
      </c>
      <c r="M80" s="125"/>
    </row>
    <row r="81" spans="1:10" x14ac:dyDescent="0.25">
      <c r="A81" s="40" t="s">
        <v>233</v>
      </c>
      <c r="B81" s="77">
        <v>0</v>
      </c>
      <c r="C81" s="40" t="s">
        <v>234</v>
      </c>
      <c r="E81" s="40" t="s">
        <v>235</v>
      </c>
    </row>
    <row r="82" spans="1:10" x14ac:dyDescent="0.25">
      <c r="A82" s="40" t="s">
        <v>236</v>
      </c>
      <c r="B82" s="77">
        <f>L73</f>
        <v>1.3227375923460061</v>
      </c>
    </row>
    <row r="83" spans="1:10" x14ac:dyDescent="0.25">
      <c r="A83" s="40" t="s">
        <v>237</v>
      </c>
      <c r="B83" s="77">
        <f>(1+(B80/C80*B81))*B82</f>
        <v>1.3227375923460061</v>
      </c>
    </row>
    <row r="84" spans="1:10" x14ac:dyDescent="0.25">
      <c r="A84" s="40" t="s">
        <v>238</v>
      </c>
    </row>
    <row r="85" spans="1:10" x14ac:dyDescent="0.25">
      <c r="A85" s="79" t="s">
        <v>176</v>
      </c>
      <c r="E85" s="123" t="s">
        <v>239</v>
      </c>
      <c r="H85" s="40" t="s">
        <v>240</v>
      </c>
    </row>
    <row r="86" spans="1:10" x14ac:dyDescent="0.25">
      <c r="A86" s="80" t="s">
        <v>17</v>
      </c>
      <c r="B86" s="77">
        <v>0.1</v>
      </c>
      <c r="C86" s="81">
        <f>B11</f>
        <v>20</v>
      </c>
      <c r="D86" s="80">
        <f>B18</f>
        <v>136</v>
      </c>
      <c r="E86" s="80">
        <f>B25</f>
        <v>252</v>
      </c>
      <c r="F86" s="80">
        <f>B32</f>
        <v>368</v>
      </c>
      <c r="G86" s="80">
        <f>B39</f>
        <v>484</v>
      </c>
      <c r="H86" s="80">
        <f>B46</f>
        <v>600</v>
      </c>
      <c r="I86" s="40">
        <f>H86*10</f>
        <v>6000</v>
      </c>
    </row>
    <row r="87" spans="1:10" x14ac:dyDescent="0.25">
      <c r="A87" s="82">
        <f>Q3</f>
        <v>0</v>
      </c>
      <c r="B87" s="77">
        <f>$J$7</f>
        <v>0.3600000000000001</v>
      </c>
      <c r="C87" s="41">
        <f>F11</f>
        <v>3.3</v>
      </c>
      <c r="D87" s="43">
        <f>F18</f>
        <v>11.700000000000001</v>
      </c>
      <c r="E87" s="43">
        <f t="shared" ref="E87:E92" si="67">F25</f>
        <v>19.260000000000002</v>
      </c>
      <c r="F87" s="43">
        <f t="shared" ref="F87:F92" si="68">F32</f>
        <v>26.04</v>
      </c>
      <c r="G87" s="43">
        <f t="shared" ref="G87:G92" si="69">F39</f>
        <v>36.414193548387097</v>
      </c>
      <c r="H87" s="43">
        <f t="shared" ref="H87:H92" si="70">F46</f>
        <v>46.930909090909097</v>
      </c>
      <c r="I87" s="40">
        <f t="shared" ref="I87:I92" si="71">H87*10</f>
        <v>469.30909090909097</v>
      </c>
      <c r="J87" s="40">
        <f t="shared" ref="J87:J92" ca="1" si="72">_xlfn.FORECAST.LINEAR(__RPM1,OFFSET(B87:H87,0,MATCH(__RPM1,$B$86:$H$86,1)-1,1,2),OFFSET($B$86:$H$86,0,MATCH(__RPM1,$B$86:$H$86,1)-1,1,2))</f>
        <v>0.54064565434659595</v>
      </c>
    </row>
    <row r="88" spans="1:10" x14ac:dyDescent="0.25">
      <c r="A88" s="82">
        <f t="shared" ref="A88:A91" si="73">Q4</f>
        <v>100</v>
      </c>
      <c r="B88" s="77">
        <f t="shared" ref="B88:B92" si="74">$J$7</f>
        <v>0.3600000000000001</v>
      </c>
      <c r="C88" s="41">
        <f>E12</f>
        <v>6.48</v>
      </c>
      <c r="D88" s="43">
        <f>E19</f>
        <v>17.399999999999999</v>
      </c>
      <c r="E88" s="43">
        <f t="shared" si="67"/>
        <v>32.46</v>
      </c>
      <c r="F88" s="43">
        <f t="shared" si="68"/>
        <v>41.28</v>
      </c>
      <c r="G88" s="43">
        <f t="shared" si="69"/>
        <v>58.280963855421689</v>
      </c>
      <c r="H88" s="43">
        <f t="shared" si="70"/>
        <v>74.599999999999994</v>
      </c>
      <c r="I88" s="40">
        <f t="shared" si="71"/>
        <v>746</v>
      </c>
      <c r="J88" s="40">
        <f t="shared" ca="1" si="72"/>
        <v>0.73603789272148523</v>
      </c>
    </row>
    <row r="89" spans="1:10" x14ac:dyDescent="0.25">
      <c r="A89" s="82">
        <f t="shared" si="73"/>
        <v>250</v>
      </c>
      <c r="B89" s="77">
        <f t="shared" si="74"/>
        <v>0.3600000000000001</v>
      </c>
      <c r="C89" s="41">
        <f>E13</f>
        <v>8.8800000000000008</v>
      </c>
      <c r="D89" s="43">
        <f>E20</f>
        <v>22.86</v>
      </c>
      <c r="E89" s="43">
        <f t="shared" si="67"/>
        <v>38.82</v>
      </c>
      <c r="F89" s="43">
        <f t="shared" si="68"/>
        <v>52.02</v>
      </c>
      <c r="G89" s="43">
        <f t="shared" si="69"/>
        <v>70.02</v>
      </c>
      <c r="H89" s="43">
        <f t="shared" si="70"/>
        <v>89.501538461538459</v>
      </c>
      <c r="I89" s="40">
        <f t="shared" si="71"/>
        <v>895.01538461538462</v>
      </c>
      <c r="J89" s="40">
        <f t="shared" ca="1" si="72"/>
        <v>0.88350373300442075</v>
      </c>
    </row>
    <row r="90" spans="1:10" x14ac:dyDescent="0.25">
      <c r="A90" s="82">
        <f t="shared" si="73"/>
        <v>500</v>
      </c>
      <c r="B90" s="77">
        <f t="shared" si="74"/>
        <v>0.3600000000000001</v>
      </c>
      <c r="C90" s="41">
        <f>E14</f>
        <v>10.5</v>
      </c>
      <c r="D90" s="43">
        <f>E21</f>
        <v>28.74</v>
      </c>
      <c r="E90" s="43">
        <f t="shared" si="67"/>
        <v>46.68</v>
      </c>
      <c r="F90" s="43">
        <f t="shared" si="68"/>
        <v>64.56</v>
      </c>
      <c r="G90" s="43">
        <f t="shared" si="69"/>
        <v>83.94</v>
      </c>
      <c r="H90" s="43">
        <f t="shared" si="70"/>
        <v>104.39</v>
      </c>
      <c r="I90" s="40">
        <f t="shared" si="71"/>
        <v>1043.9000000000001</v>
      </c>
      <c r="J90" s="40">
        <f t="shared" ca="1" si="72"/>
        <v>0.98304317519540108</v>
      </c>
    </row>
    <row r="91" spans="1:10" x14ac:dyDescent="0.25">
      <c r="A91" s="82">
        <f t="shared" si="73"/>
        <v>750</v>
      </c>
      <c r="B91" s="77">
        <f t="shared" si="74"/>
        <v>0.3600000000000001</v>
      </c>
      <c r="C91" s="41">
        <f>E15</f>
        <v>14.04</v>
      </c>
      <c r="D91" s="43">
        <f>E22</f>
        <v>35.58</v>
      </c>
      <c r="E91" s="43">
        <f t="shared" si="67"/>
        <v>60.6</v>
      </c>
      <c r="F91" s="43">
        <f t="shared" si="68"/>
        <v>80.400000000000006</v>
      </c>
      <c r="G91" s="43">
        <f t="shared" si="69"/>
        <v>101.16</v>
      </c>
      <c r="H91" s="43">
        <f t="shared" si="70"/>
        <v>131.33999999999997</v>
      </c>
      <c r="I91" s="40">
        <f t="shared" si="71"/>
        <v>1313.3999999999996</v>
      </c>
      <c r="J91" s="40">
        <f t="shared" ca="1" si="72"/>
        <v>1.2005552896127307</v>
      </c>
    </row>
    <row r="92" spans="1:10" x14ac:dyDescent="0.25">
      <c r="A92" s="82">
        <f>Q8+0.1</f>
        <v>1000.1</v>
      </c>
      <c r="B92" s="77">
        <f t="shared" si="74"/>
        <v>0.3600000000000001</v>
      </c>
      <c r="C92" s="41">
        <f>E16</f>
        <v>19.559999999999999</v>
      </c>
      <c r="D92" s="43">
        <f>E23</f>
        <v>46.02</v>
      </c>
      <c r="E92" s="43">
        <f t="shared" si="67"/>
        <v>74.099999999999994</v>
      </c>
      <c r="F92" s="43">
        <f t="shared" si="68"/>
        <v>104.34</v>
      </c>
      <c r="G92" s="43">
        <f t="shared" si="69"/>
        <v>130.07999999999998</v>
      </c>
      <c r="H92" s="43">
        <f t="shared" si="70"/>
        <v>166.92</v>
      </c>
      <c r="I92" s="40">
        <f t="shared" si="71"/>
        <v>1669.1999999999998</v>
      </c>
      <c r="J92" s="40">
        <f t="shared" ca="1" si="72"/>
        <v>1.5397267222634803</v>
      </c>
    </row>
    <row r="95" spans="1:10" x14ac:dyDescent="0.25">
      <c r="A95" s="40" t="s">
        <v>241</v>
      </c>
      <c r="B95" s="84">
        <f>B83</f>
        <v>1.3227375923460061</v>
      </c>
      <c r="C95" s="40" t="s">
        <v>17</v>
      </c>
    </row>
    <row r="96" spans="1:10" x14ac:dyDescent="0.25">
      <c r="A96" s="40" t="s">
        <v>242</v>
      </c>
      <c r="B96" s="84">
        <f>B80</f>
        <v>2040</v>
      </c>
      <c r="C96" s="40" t="s">
        <v>165</v>
      </c>
    </row>
    <row r="97" spans="1:3" x14ac:dyDescent="0.25">
      <c r="A97" s="40" t="s">
        <v>243</v>
      </c>
      <c r="B97" s="85" t="e">
        <f ca="1">_xlfn.FORECAST.LINEAR(Press1,OFFSET(J87:J92,MATCH(Press1,A87:A92,1)-1,0,2),OFFSET(A87:A92,MATCH(Press1,A87:A92,1)-1,0,2))</f>
        <v>#DIV/0!</v>
      </c>
      <c r="C97" s="40" t="s">
        <v>18</v>
      </c>
    </row>
  </sheetData>
  <mergeCells count="3">
    <mergeCell ref="C9:E9"/>
    <mergeCell ref="F9:H9"/>
    <mergeCell ref="L9:N9"/>
  </mergeCells>
  <pageMargins left="0.70866141732283472" right="0.70866141732283472" top="0.74803149606299213" bottom="0.74803149606299213" header="0.31496062992125984" footer="0.31496062992125984"/>
  <pageSetup scale="63" orientation="landscape" r:id="rId1"/>
  <rowBreaks count="1" manualBreakCount="1">
    <brk id="54" max="1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U42"/>
  <sheetViews>
    <sheetView workbookViewId="0">
      <selection activeCell="E19" sqref="E19"/>
    </sheetView>
  </sheetViews>
  <sheetFormatPr defaultColWidth="8.85546875" defaultRowHeight="12.75" x14ac:dyDescent="0.2"/>
  <cols>
    <col min="1" max="1" width="8.85546875" customWidth="1"/>
    <col min="2" max="2" width="29.85546875" customWidth="1"/>
    <col min="3" max="3" width="7" customWidth="1"/>
    <col min="4" max="4" width="8.85546875" customWidth="1"/>
    <col min="5" max="5" width="14.7109375" customWidth="1"/>
    <col min="6" max="6" width="14.5703125" customWidth="1"/>
    <col min="7" max="7" width="8.85546875" customWidth="1"/>
    <col min="12" max="12" width="9.5703125" bestFit="1" customWidth="1"/>
  </cols>
  <sheetData>
    <row r="1" spans="1:17" s="160" customFormat="1" ht="169.5" customHeight="1" x14ac:dyDescent="0.2">
      <c r="A1" s="159" t="s">
        <v>153</v>
      </c>
      <c r="C1" s="160" t="str">
        <f>A1</f>
        <v>Data Summary Table</v>
      </c>
      <c r="E1" s="159" t="s">
        <v>13</v>
      </c>
      <c r="H1" s="159" t="s">
        <v>154</v>
      </c>
      <c r="I1" s="159" t="s">
        <v>155</v>
      </c>
      <c r="J1" s="159" t="s">
        <v>276</v>
      </c>
      <c r="K1" s="159" t="s">
        <v>156</v>
      </c>
      <c r="L1" s="159" t="s">
        <v>157</v>
      </c>
      <c r="M1" s="159" t="s">
        <v>158</v>
      </c>
      <c r="N1" s="159" t="s">
        <v>273</v>
      </c>
      <c r="O1" s="159" t="s">
        <v>273</v>
      </c>
      <c r="P1" s="159" t="s">
        <v>192</v>
      </c>
    </row>
    <row r="2" spans="1:17" x14ac:dyDescent="0.2">
      <c r="A2" s="122" t="s">
        <v>159</v>
      </c>
      <c r="B2" s="122" t="s">
        <v>160</v>
      </c>
      <c r="C2" s="19" t="str">
        <f t="shared" ref="C2" si="0">A2</f>
        <v>Set</v>
      </c>
      <c r="D2" s="122" t="s">
        <v>161</v>
      </c>
      <c r="E2" s="122" t="s">
        <v>162</v>
      </c>
      <c r="F2" s="122" t="s">
        <v>163</v>
      </c>
      <c r="G2" s="91" t="s">
        <v>164</v>
      </c>
      <c r="H2" s="91" t="s">
        <v>165</v>
      </c>
      <c r="I2" s="91" t="s">
        <v>17</v>
      </c>
      <c r="J2" s="91" t="s">
        <v>25</v>
      </c>
      <c r="K2" s="91"/>
      <c r="N2" s="91" t="s">
        <v>275</v>
      </c>
      <c r="O2" s="91" t="s">
        <v>274</v>
      </c>
      <c r="P2" s="91" t="s">
        <v>188</v>
      </c>
      <c r="Q2" s="91" t="s">
        <v>189</v>
      </c>
    </row>
    <row r="3" spans="1:17" ht="15" x14ac:dyDescent="0.25">
      <c r="A3">
        <v>0</v>
      </c>
      <c r="B3" s="102" t="s">
        <v>272</v>
      </c>
      <c r="C3">
        <v>1</v>
      </c>
      <c r="E3">
        <f>'DH -COMET_100'!B83</f>
        <v>148.56838238499975</v>
      </c>
      <c r="F3" t="e">
        <f ca="1">'DH -COMET_100'!B97</f>
        <v>#DIV/0!</v>
      </c>
      <c r="G3">
        <v>32</v>
      </c>
      <c r="H3">
        <v>1000</v>
      </c>
      <c r="I3">
        <v>1000</v>
      </c>
      <c r="J3">
        <f>Pavg*P3+Q3</f>
        <v>601.36800000000017</v>
      </c>
      <c r="K3">
        <v>0</v>
      </c>
      <c r="L3">
        <v>0</v>
      </c>
      <c r="M3">
        <v>300</v>
      </c>
      <c r="P3" s="158">
        <v>-0.67579999999999996</v>
      </c>
      <c r="Q3" s="158">
        <v>1980</v>
      </c>
    </row>
    <row r="4" spans="1:17" ht="15" x14ac:dyDescent="0.25">
      <c r="A4">
        <v>1</v>
      </c>
      <c r="B4" s="102" t="s">
        <v>264</v>
      </c>
      <c r="C4">
        <v>2</v>
      </c>
      <c r="E4">
        <f>'DH -F2_100'!B82</f>
        <v>1.3227375923460061</v>
      </c>
      <c r="F4" t="e">
        <f ca="1">'DH -F2_100'!B97</f>
        <v>#DIV/0!</v>
      </c>
      <c r="G4">
        <v>32</v>
      </c>
      <c r="H4">
        <v>1000</v>
      </c>
      <c r="I4">
        <v>600</v>
      </c>
      <c r="J4">
        <f>Pavg*P4+Q4</f>
        <v>1112.2240000000002</v>
      </c>
      <c r="K4">
        <v>0</v>
      </c>
      <c r="L4">
        <v>0</v>
      </c>
      <c r="M4">
        <v>20</v>
      </c>
      <c r="P4" s="158">
        <v>-5.4399999999999997E-2</v>
      </c>
      <c r="Q4" s="158">
        <v>1223.2</v>
      </c>
    </row>
    <row r="5" spans="1:17" ht="15" x14ac:dyDescent="0.25">
      <c r="A5">
        <v>2</v>
      </c>
      <c r="B5" s="102" t="s">
        <v>265</v>
      </c>
      <c r="C5">
        <v>3</v>
      </c>
      <c r="E5" s="157">
        <f>E7</f>
        <v>32.438155866535261</v>
      </c>
      <c r="F5" s="157">
        <f ca="1">F7</f>
        <v>10.457290760451881</v>
      </c>
      <c r="G5">
        <v>16</v>
      </c>
      <c r="H5">
        <v>1500</v>
      </c>
      <c r="I5">
        <v>166</v>
      </c>
      <c r="J5">
        <f>M26</f>
        <v>47.317599999999999</v>
      </c>
      <c r="K5">
        <v>1</v>
      </c>
      <c r="L5">
        <v>1</v>
      </c>
      <c r="M5">
        <v>20</v>
      </c>
      <c r="N5">
        <v>50</v>
      </c>
      <c r="O5">
        <f>0.946352*N5</f>
        <v>47.317599999999999</v>
      </c>
      <c r="P5" s="157">
        <f>P11</f>
        <v>-1.09E-2</v>
      </c>
      <c r="Q5" s="157">
        <f t="shared" ref="Q5:Q7" si="1">O5</f>
        <v>47.317599999999999</v>
      </c>
    </row>
    <row r="6" spans="1:17" ht="15" x14ac:dyDescent="0.25">
      <c r="A6">
        <v>3</v>
      </c>
      <c r="B6" s="102" t="s">
        <v>259</v>
      </c>
      <c r="C6">
        <v>4</v>
      </c>
      <c r="E6" s="157">
        <f>E8</f>
        <v>13.592196105661632</v>
      </c>
      <c r="F6" s="157">
        <f ca="1">F8</f>
        <v>8.6575212971379703</v>
      </c>
      <c r="G6">
        <v>16</v>
      </c>
      <c r="H6">
        <v>1500</v>
      </c>
      <c r="I6">
        <v>166</v>
      </c>
      <c r="J6">
        <f>M28</f>
        <v>94.635199999999998</v>
      </c>
      <c r="K6">
        <v>1</v>
      </c>
      <c r="L6">
        <v>1</v>
      </c>
      <c r="M6">
        <v>20</v>
      </c>
      <c r="N6">
        <v>100</v>
      </c>
      <c r="O6">
        <f t="shared" ref="O6:O16" si="2">0.946352*N6</f>
        <v>94.635199999999998</v>
      </c>
      <c r="P6" s="157">
        <f>P12</f>
        <v>-2.18E-2</v>
      </c>
      <c r="Q6" s="157">
        <f t="shared" si="1"/>
        <v>94.635199999999998</v>
      </c>
    </row>
    <row r="7" spans="1:17" ht="15" x14ac:dyDescent="0.25">
      <c r="A7">
        <v>4</v>
      </c>
      <c r="B7" s="102" t="s">
        <v>260</v>
      </c>
      <c r="C7">
        <v>5</v>
      </c>
      <c r="E7">
        <f>F2_300_SH!$B$83</f>
        <v>32.438155866535261</v>
      </c>
      <c r="F7">
        <f ca="1">F2_300_SH!$B$97</f>
        <v>10.457290760451881</v>
      </c>
      <c r="G7">
        <v>32</v>
      </c>
      <c r="H7">
        <v>1500</v>
      </c>
      <c r="I7">
        <v>166</v>
      </c>
      <c r="J7">
        <f>J5</f>
        <v>47.317599999999999</v>
      </c>
      <c r="K7">
        <v>1</v>
      </c>
      <c r="L7">
        <v>1</v>
      </c>
      <c r="M7">
        <v>20</v>
      </c>
      <c r="N7">
        <v>50</v>
      </c>
      <c r="O7">
        <f t="shared" si="2"/>
        <v>47.317599999999999</v>
      </c>
      <c r="P7" s="157">
        <f>P11</f>
        <v>-1.09E-2</v>
      </c>
      <c r="Q7" s="157">
        <f t="shared" si="1"/>
        <v>47.317599999999999</v>
      </c>
    </row>
    <row r="8" spans="1:17" ht="15" x14ac:dyDescent="0.25">
      <c r="A8">
        <v>5</v>
      </c>
      <c r="B8" s="102" t="s">
        <v>261</v>
      </c>
      <c r="C8">
        <v>6</v>
      </c>
      <c r="E8">
        <f>F2_300_DH!$B$83</f>
        <v>13.592196105661632</v>
      </c>
      <c r="F8">
        <f ca="1">F2_300_DH!$B$97</f>
        <v>8.6575212971379703</v>
      </c>
      <c r="G8">
        <v>32</v>
      </c>
      <c r="H8">
        <v>1500</v>
      </c>
      <c r="I8">
        <v>166</v>
      </c>
      <c r="J8">
        <f>J6</f>
        <v>94.635199999999998</v>
      </c>
      <c r="K8">
        <v>1</v>
      </c>
      <c r="L8">
        <v>1</v>
      </c>
      <c r="M8">
        <v>20</v>
      </c>
      <c r="N8">
        <v>100</v>
      </c>
      <c r="O8">
        <f t="shared" si="2"/>
        <v>94.635199999999998</v>
      </c>
      <c r="P8" s="161">
        <f>P12</f>
        <v>-2.18E-2</v>
      </c>
      <c r="Q8" s="157">
        <f>O8</f>
        <v>94.635199999999998</v>
      </c>
    </row>
    <row r="9" spans="1:17" ht="15.75" customHeight="1" x14ac:dyDescent="0.25">
      <c r="A9">
        <v>6</v>
      </c>
      <c r="B9" s="102" t="s">
        <v>262</v>
      </c>
      <c r="C9">
        <v>7</v>
      </c>
      <c r="E9" s="157">
        <f>E11</f>
        <v>32.438155866535261</v>
      </c>
      <c r="F9" s="157">
        <f ca="1">F11</f>
        <v>10.457290760451881</v>
      </c>
      <c r="G9">
        <v>16</v>
      </c>
      <c r="H9">
        <v>3000</v>
      </c>
      <c r="I9">
        <v>300</v>
      </c>
      <c r="J9">
        <f t="shared" ref="J9:J16" si="3">MIN(Pavg*P9+Q9, O9)</f>
        <v>74.05368</v>
      </c>
      <c r="K9">
        <v>1</v>
      </c>
      <c r="L9">
        <v>1</v>
      </c>
      <c r="M9">
        <v>20</v>
      </c>
      <c r="N9">
        <v>90</v>
      </c>
      <c r="O9">
        <f t="shared" si="2"/>
        <v>85.171679999999995</v>
      </c>
      <c r="P9" s="157">
        <f>P12/4</f>
        <v>-5.45E-3</v>
      </c>
      <c r="Q9" s="157">
        <f>Q12/4</f>
        <v>85.171679999999995</v>
      </c>
    </row>
    <row r="10" spans="1:17" ht="15" x14ac:dyDescent="0.25">
      <c r="A10">
        <v>7</v>
      </c>
      <c r="B10" s="102" t="s">
        <v>263</v>
      </c>
      <c r="C10">
        <v>8</v>
      </c>
      <c r="E10" s="157">
        <f>E12</f>
        <v>13.592196105661632</v>
      </c>
      <c r="F10" s="157">
        <f ca="1">F12</f>
        <v>8.6575212971379703</v>
      </c>
      <c r="G10">
        <v>16</v>
      </c>
      <c r="H10">
        <v>3000</v>
      </c>
      <c r="I10">
        <v>300</v>
      </c>
      <c r="J10">
        <f t="shared" si="3"/>
        <v>148.10736</v>
      </c>
      <c r="K10">
        <v>1</v>
      </c>
      <c r="L10">
        <v>1</v>
      </c>
      <c r="M10">
        <v>20</v>
      </c>
      <c r="N10">
        <v>180</v>
      </c>
      <c r="O10">
        <f t="shared" si="2"/>
        <v>170.34335999999999</v>
      </c>
      <c r="P10" s="157">
        <f>P12/2</f>
        <v>-1.09E-2</v>
      </c>
      <c r="Q10" s="157">
        <f>Q12/2</f>
        <v>170.34335999999999</v>
      </c>
    </row>
    <row r="11" spans="1:17" ht="15" x14ac:dyDescent="0.25">
      <c r="A11">
        <v>8</v>
      </c>
      <c r="B11" s="102" t="s">
        <v>266</v>
      </c>
      <c r="C11">
        <v>9</v>
      </c>
      <c r="E11">
        <f>F2_300_SH!$B$83</f>
        <v>32.438155866535261</v>
      </c>
      <c r="F11">
        <f ca="1">F2_300_SH!$B$97</f>
        <v>10.457290760451881</v>
      </c>
      <c r="G11">
        <v>32</v>
      </c>
      <c r="H11">
        <v>3000</v>
      </c>
      <c r="I11">
        <v>600</v>
      </c>
      <c r="J11">
        <f t="shared" si="3"/>
        <v>148.10736</v>
      </c>
      <c r="K11">
        <v>1</v>
      </c>
      <c r="L11">
        <v>1</v>
      </c>
      <c r="M11">
        <v>20</v>
      </c>
      <c r="N11">
        <v>180</v>
      </c>
      <c r="O11">
        <f t="shared" si="2"/>
        <v>170.34335999999999</v>
      </c>
      <c r="P11" s="157">
        <f>P12/2</f>
        <v>-1.09E-2</v>
      </c>
      <c r="Q11" s="157">
        <f>Q12/2</f>
        <v>170.34335999999999</v>
      </c>
    </row>
    <row r="12" spans="1:17" ht="15" x14ac:dyDescent="0.25">
      <c r="A12">
        <v>9</v>
      </c>
      <c r="B12" s="102" t="s">
        <v>267</v>
      </c>
      <c r="C12">
        <v>10</v>
      </c>
      <c r="E12">
        <f>F2_300_DH!$B$83</f>
        <v>13.592196105661632</v>
      </c>
      <c r="F12">
        <f ca="1">F2_300_DH!$B$97</f>
        <v>8.6575212971379703</v>
      </c>
      <c r="G12">
        <v>32</v>
      </c>
      <c r="H12">
        <v>3000</v>
      </c>
      <c r="I12">
        <v>600</v>
      </c>
      <c r="J12">
        <f t="shared" si="3"/>
        <v>296.21472</v>
      </c>
      <c r="K12">
        <v>1</v>
      </c>
      <c r="L12">
        <v>1</v>
      </c>
      <c r="M12">
        <v>20</v>
      </c>
      <c r="N12">
        <v>360</v>
      </c>
      <c r="O12">
        <f t="shared" si="2"/>
        <v>340.68671999999998</v>
      </c>
      <c r="P12" s="158">
        <v>-2.18E-2</v>
      </c>
      <c r="Q12" s="158">
        <f>O12</f>
        <v>340.68671999999998</v>
      </c>
    </row>
    <row r="13" spans="1:17" ht="15" x14ac:dyDescent="0.25">
      <c r="A13">
        <v>10</v>
      </c>
      <c r="B13" s="102" t="s">
        <v>268</v>
      </c>
      <c r="C13">
        <v>11</v>
      </c>
      <c r="E13" s="157">
        <f>E15</f>
        <v>39.35167820481513</v>
      </c>
      <c r="F13" s="157">
        <f ca="1">F15</f>
        <v>7.6010640101735643</v>
      </c>
      <c r="G13">
        <v>16</v>
      </c>
      <c r="H13">
        <v>5000</v>
      </c>
      <c r="I13">
        <v>300</v>
      </c>
      <c r="J13">
        <f t="shared" si="3"/>
        <v>50.355119999999999</v>
      </c>
      <c r="K13">
        <v>1</v>
      </c>
      <c r="L13">
        <v>2</v>
      </c>
      <c r="M13">
        <v>20</v>
      </c>
      <c r="N13">
        <v>60</v>
      </c>
      <c r="O13">
        <f t="shared" si="2"/>
        <v>56.781120000000001</v>
      </c>
      <c r="P13" s="157">
        <f>P16/4</f>
        <v>-3.15E-3</v>
      </c>
      <c r="Q13" s="157">
        <f>Q16/4</f>
        <v>56.781120000000001</v>
      </c>
    </row>
    <row r="14" spans="1:17" ht="15" x14ac:dyDescent="0.25">
      <c r="A14">
        <v>11</v>
      </c>
      <c r="B14" s="102" t="s">
        <v>269</v>
      </c>
      <c r="C14">
        <v>12</v>
      </c>
      <c r="E14" s="157">
        <f>E16</f>
        <v>15.962696375335163</v>
      </c>
      <c r="F14" s="157">
        <f ca="1">F16</f>
        <v>6.9567398076471543</v>
      </c>
      <c r="G14">
        <v>16</v>
      </c>
      <c r="H14">
        <v>5000</v>
      </c>
      <c r="I14">
        <v>300</v>
      </c>
      <c r="J14">
        <f t="shared" si="3"/>
        <v>100.71024</v>
      </c>
      <c r="K14">
        <v>1</v>
      </c>
      <c r="L14">
        <v>2</v>
      </c>
      <c r="M14">
        <v>20</v>
      </c>
      <c r="N14">
        <v>120</v>
      </c>
      <c r="O14">
        <f t="shared" si="2"/>
        <v>113.56224</v>
      </c>
      <c r="P14" s="157">
        <f>P16/2</f>
        <v>-6.3E-3</v>
      </c>
      <c r="Q14" s="157">
        <f>Q16/2</f>
        <v>113.56224</v>
      </c>
    </row>
    <row r="15" spans="1:17" ht="15" x14ac:dyDescent="0.25">
      <c r="A15">
        <v>12</v>
      </c>
      <c r="B15" s="102" t="s">
        <v>270</v>
      </c>
      <c r="C15">
        <v>13</v>
      </c>
      <c r="E15">
        <f>F2_500_SH!B83</f>
        <v>39.35167820481513</v>
      </c>
      <c r="F15">
        <f ca="1">F2_500_SH!B97</f>
        <v>7.6010640101735643</v>
      </c>
      <c r="G15">
        <v>32</v>
      </c>
      <c r="H15">
        <v>5000</v>
      </c>
      <c r="I15">
        <v>600</v>
      </c>
      <c r="J15">
        <f t="shared" si="3"/>
        <v>100.71024</v>
      </c>
      <c r="K15">
        <v>1</v>
      </c>
      <c r="L15">
        <v>2</v>
      </c>
      <c r="M15">
        <v>20</v>
      </c>
      <c r="N15">
        <v>120</v>
      </c>
      <c r="O15">
        <f t="shared" si="2"/>
        <v>113.56224</v>
      </c>
      <c r="P15" s="157">
        <f>P16/2</f>
        <v>-6.3E-3</v>
      </c>
      <c r="Q15" s="157">
        <f>Q16/2</f>
        <v>113.56224</v>
      </c>
    </row>
    <row r="16" spans="1:17" ht="15" x14ac:dyDescent="0.25">
      <c r="A16">
        <v>13</v>
      </c>
      <c r="B16" s="102" t="s">
        <v>271</v>
      </c>
      <c r="C16">
        <v>14</v>
      </c>
      <c r="E16">
        <f>F2_500_DH!B83</f>
        <v>15.962696375335163</v>
      </c>
      <c r="F16">
        <f ca="1">F2_500_DH!B97</f>
        <v>6.9567398076471543</v>
      </c>
      <c r="G16">
        <v>32</v>
      </c>
      <c r="H16">
        <v>5000</v>
      </c>
      <c r="I16">
        <v>600</v>
      </c>
      <c r="J16">
        <f t="shared" si="3"/>
        <v>201.42048</v>
      </c>
      <c r="K16">
        <v>1</v>
      </c>
      <c r="L16">
        <v>2</v>
      </c>
      <c r="M16">
        <v>20</v>
      </c>
      <c r="N16">
        <v>240</v>
      </c>
      <c r="O16">
        <f t="shared" si="2"/>
        <v>227.12448000000001</v>
      </c>
      <c r="P16" s="158">
        <v>-1.26E-2</v>
      </c>
      <c r="Q16" s="158">
        <f>O16</f>
        <v>227.12448000000001</v>
      </c>
    </row>
    <row r="17" spans="1:21" ht="15" x14ac:dyDescent="0.25">
      <c r="A17">
        <v>14</v>
      </c>
      <c r="B17" s="102" t="s">
        <v>358</v>
      </c>
      <c r="C17">
        <v>15</v>
      </c>
      <c r="E17">
        <f>COMET2_SH300!B83</f>
        <v>59.526342502493897</v>
      </c>
      <c r="F17">
        <f ca="1">COMET2_SH300!B97</f>
        <v>11.088538107198795</v>
      </c>
      <c r="G17">
        <v>32</v>
      </c>
      <c r="H17">
        <v>3000</v>
      </c>
      <c r="I17">
        <v>1000</v>
      </c>
      <c r="J17">
        <f>Pavg*P17+Q17</f>
        <v>257.154</v>
      </c>
      <c r="K17">
        <v>1</v>
      </c>
      <c r="L17">
        <v>1</v>
      </c>
      <c r="M17">
        <v>300</v>
      </c>
      <c r="P17" s="158">
        <v>-3.1899999999999998E-2</v>
      </c>
      <c r="Q17" s="158">
        <v>322.23</v>
      </c>
    </row>
    <row r="18" spans="1:21" ht="15" x14ac:dyDescent="0.25">
      <c r="A18">
        <v>15</v>
      </c>
      <c r="B18" s="102" t="s">
        <v>359</v>
      </c>
      <c r="C18">
        <v>16</v>
      </c>
      <c r="E18">
        <f>E17</f>
        <v>59.526342502493897</v>
      </c>
      <c r="F18" s="20">
        <f ca="1">F17*G39</f>
        <v>13.860672633998494</v>
      </c>
      <c r="G18">
        <v>16</v>
      </c>
      <c r="H18">
        <v>3000</v>
      </c>
      <c r="I18">
        <v>1000</v>
      </c>
      <c r="J18">
        <f>J17</f>
        <v>257.154</v>
      </c>
      <c r="K18">
        <v>1</v>
      </c>
      <c r="L18">
        <v>1</v>
      </c>
      <c r="M18">
        <v>300</v>
      </c>
      <c r="P18" s="157">
        <v>-3.1899999999999998E-2</v>
      </c>
      <c r="Q18" s="157">
        <v>322.23</v>
      </c>
    </row>
    <row r="19" spans="1:21" ht="15" x14ac:dyDescent="0.25">
      <c r="A19">
        <v>16</v>
      </c>
      <c r="B19" s="102" t="s">
        <v>360</v>
      </c>
      <c r="C19">
        <v>17</v>
      </c>
      <c r="E19">
        <f>COMET2_DH300!B83</f>
        <v>24.594114222501883</v>
      </c>
      <c r="F19">
        <f ca="1">COMET2_DH300!B97</f>
        <v>5.6761747842300387</v>
      </c>
      <c r="G19">
        <v>32</v>
      </c>
      <c r="H19">
        <v>3000</v>
      </c>
      <c r="I19">
        <v>1000</v>
      </c>
      <c r="J19">
        <f>Pavg*P19+Q19</f>
        <v>421.74</v>
      </c>
      <c r="K19">
        <v>1</v>
      </c>
      <c r="L19">
        <v>1</v>
      </c>
      <c r="M19">
        <v>300</v>
      </c>
      <c r="P19" s="158">
        <v>-9.0499999999999997E-2</v>
      </c>
      <c r="Q19" s="158">
        <v>606.36</v>
      </c>
    </row>
    <row r="20" spans="1:21" ht="15" x14ac:dyDescent="0.25">
      <c r="A20">
        <v>17</v>
      </c>
      <c r="B20" s="102" t="s">
        <v>361</v>
      </c>
      <c r="C20">
        <v>18</v>
      </c>
      <c r="E20">
        <f>E19</f>
        <v>24.594114222501883</v>
      </c>
      <c r="F20" s="20">
        <f ca="1">F19*$G$39</f>
        <v>7.0952184802875484</v>
      </c>
      <c r="G20">
        <v>16</v>
      </c>
      <c r="H20">
        <v>3000</v>
      </c>
      <c r="I20">
        <v>1000</v>
      </c>
      <c r="J20">
        <f>J19</f>
        <v>421.74</v>
      </c>
      <c r="K20">
        <v>1</v>
      </c>
      <c r="L20">
        <v>1</v>
      </c>
      <c r="M20">
        <v>300</v>
      </c>
      <c r="P20" s="157">
        <v>-9.0499999999999997E-2</v>
      </c>
      <c r="Q20" s="157">
        <v>606.36</v>
      </c>
    </row>
    <row r="21" spans="1:21" ht="15" x14ac:dyDescent="0.25">
      <c r="A21">
        <v>18</v>
      </c>
      <c r="B21" s="102" t="s">
        <v>362</v>
      </c>
      <c r="C21">
        <v>19</v>
      </c>
      <c r="E21">
        <f>'COMET2_HP-DH500'!B83</f>
        <v>28.979628620563837</v>
      </c>
      <c r="F21">
        <f ca="1">'COMET2_HP-DH500'!B97</f>
        <v>4.9854543624451981</v>
      </c>
      <c r="G21">
        <v>32</v>
      </c>
      <c r="H21">
        <v>5000</v>
      </c>
      <c r="I21">
        <v>1000</v>
      </c>
      <c r="J21">
        <f>Pavg*P21+Q21</f>
        <v>344.72800000000001</v>
      </c>
      <c r="K21">
        <v>1</v>
      </c>
      <c r="L21">
        <v>1</v>
      </c>
      <c r="M21">
        <v>300</v>
      </c>
      <c r="P21" s="158">
        <v>-4.9299999999999997E-2</v>
      </c>
      <c r="Q21" s="158">
        <v>445.3</v>
      </c>
    </row>
    <row r="24" spans="1:21" ht="13.5" thickBot="1" x14ac:dyDescent="0.25">
      <c r="M24" s="24">
        <v>0.94635199999999997</v>
      </c>
    </row>
    <row r="25" spans="1:21" ht="15.75" thickBot="1" x14ac:dyDescent="0.25">
      <c r="E25" s="277" t="s">
        <v>166</v>
      </c>
      <c r="F25" s="278"/>
      <c r="G25" s="149" t="s">
        <v>167</v>
      </c>
      <c r="H25" s="149" t="s">
        <v>168</v>
      </c>
      <c r="I25" s="149" t="s">
        <v>169</v>
      </c>
      <c r="J25" s="149" t="s">
        <v>170</v>
      </c>
      <c r="L25" s="86" t="s">
        <v>171</v>
      </c>
      <c r="M25" s="86" t="s">
        <v>25</v>
      </c>
    </row>
    <row r="26" spans="1:21" ht="15.75" thickBot="1" x14ac:dyDescent="0.25">
      <c r="E26" s="33" t="s">
        <v>172</v>
      </c>
      <c r="F26" s="34" t="s">
        <v>173</v>
      </c>
      <c r="G26" s="34" t="s">
        <v>174</v>
      </c>
      <c r="H26" s="34" t="s">
        <v>175</v>
      </c>
      <c r="I26" s="34" t="s">
        <v>174</v>
      </c>
      <c r="J26" s="34" t="s">
        <v>175</v>
      </c>
      <c r="L26">
        <v>50</v>
      </c>
      <c r="M26">
        <f>L26*$M$24</f>
        <v>47.317599999999999</v>
      </c>
    </row>
    <row r="27" spans="1:21" ht="15.75" thickBot="1" x14ac:dyDescent="0.25">
      <c r="E27" s="33"/>
      <c r="F27" s="34" t="s">
        <v>176</v>
      </c>
      <c r="G27" s="34" t="s">
        <v>177</v>
      </c>
      <c r="H27" s="34" t="s">
        <v>177</v>
      </c>
      <c r="I27" s="34" t="s">
        <v>177</v>
      </c>
      <c r="J27" s="34" t="s">
        <v>177</v>
      </c>
      <c r="L27">
        <v>90</v>
      </c>
      <c r="M27">
        <f t="shared" ref="M27:M30" si="4">L27*$M$24</f>
        <v>85.171679999999995</v>
      </c>
    </row>
    <row r="28" spans="1:21" ht="15.75" thickBot="1" x14ac:dyDescent="0.25">
      <c r="E28" s="35" t="s">
        <v>178</v>
      </c>
      <c r="F28" s="36" t="s">
        <v>173</v>
      </c>
      <c r="G28" s="36" t="s">
        <v>179</v>
      </c>
      <c r="H28" s="36" t="s">
        <v>180</v>
      </c>
      <c r="I28" s="36" t="s">
        <v>181</v>
      </c>
      <c r="J28" s="36" t="s">
        <v>179</v>
      </c>
      <c r="L28">
        <v>100</v>
      </c>
      <c r="M28">
        <f t="shared" si="4"/>
        <v>94.635199999999998</v>
      </c>
    </row>
    <row r="29" spans="1:21" ht="15.75" thickBot="1" x14ac:dyDescent="0.25">
      <c r="E29" s="35"/>
      <c r="F29" s="36" t="s">
        <v>176</v>
      </c>
      <c r="G29" s="36" t="s">
        <v>182</v>
      </c>
      <c r="H29" s="36" t="s">
        <v>182</v>
      </c>
      <c r="I29" s="36" t="s">
        <v>182</v>
      </c>
      <c r="J29" s="36" t="s">
        <v>182</v>
      </c>
      <c r="L29">
        <v>180</v>
      </c>
      <c r="M29">
        <f t="shared" si="4"/>
        <v>170.34335999999999</v>
      </c>
    </row>
    <row r="30" spans="1:21" ht="15.75" thickBot="1" x14ac:dyDescent="0.25">
      <c r="E30" s="37" t="s">
        <v>183</v>
      </c>
      <c r="F30" s="38" t="s">
        <v>173</v>
      </c>
      <c r="G30" s="38" t="s">
        <v>184</v>
      </c>
      <c r="H30" s="38" t="s">
        <v>185</v>
      </c>
      <c r="I30" s="38" t="s">
        <v>186</v>
      </c>
      <c r="J30" s="38" t="s">
        <v>184</v>
      </c>
      <c r="L30">
        <v>360</v>
      </c>
      <c r="M30">
        <f t="shared" si="4"/>
        <v>340.68671999999998</v>
      </c>
      <c r="T30">
        <v>0</v>
      </c>
      <c r="U30">
        <f>T30*$P$32+$Q$32</f>
        <v>1980</v>
      </c>
    </row>
    <row r="31" spans="1:21" ht="15.75" thickBot="1" x14ac:dyDescent="0.25">
      <c r="E31" s="39"/>
      <c r="F31" s="38" t="s">
        <v>176</v>
      </c>
      <c r="G31" s="38" t="s">
        <v>187</v>
      </c>
      <c r="H31" s="38" t="s">
        <v>187</v>
      </c>
      <c r="I31" s="38" t="s">
        <v>187</v>
      </c>
      <c r="J31" s="38" t="s">
        <v>187</v>
      </c>
      <c r="P31" s="91" t="s">
        <v>188</v>
      </c>
      <c r="Q31" s="91" t="s">
        <v>189</v>
      </c>
      <c r="T31">
        <f>H3</f>
        <v>1000</v>
      </c>
      <c r="U31">
        <f>T31*$P$32+$Q$32</f>
        <v>1304.2</v>
      </c>
    </row>
    <row r="32" spans="1:21" ht="15.75" thickBot="1" x14ac:dyDescent="0.25">
      <c r="E32" s="103" t="s">
        <v>190</v>
      </c>
      <c r="F32" s="104" t="s">
        <v>173</v>
      </c>
      <c r="G32" s="104"/>
      <c r="H32" s="104"/>
      <c r="I32" s="104"/>
      <c r="J32" s="104"/>
      <c r="L32" s="106">
        <f>M32/$M$24</f>
        <v>635.45911035217364</v>
      </c>
      <c r="M32" s="20">
        <f>Pavg*P32+Q32</f>
        <v>601.36800000000017</v>
      </c>
      <c r="P32">
        <v>-0.67579999999999996</v>
      </c>
      <c r="Q32">
        <v>1980</v>
      </c>
    </row>
    <row r="33" spans="5:16" ht="15.75" thickBot="1" x14ac:dyDescent="0.25">
      <c r="E33" s="105"/>
      <c r="F33" s="104" t="s">
        <v>176</v>
      </c>
      <c r="G33" s="104"/>
      <c r="H33" s="104" t="s">
        <v>191</v>
      </c>
      <c r="I33" s="104"/>
      <c r="J33" s="104"/>
      <c r="P33" s="91" t="s">
        <v>192</v>
      </c>
    </row>
    <row r="34" spans="5:16" ht="15.75" thickBot="1" x14ac:dyDescent="0.25">
      <c r="E34" s="107" t="s">
        <v>193</v>
      </c>
      <c r="F34" s="108" t="s">
        <v>173</v>
      </c>
      <c r="G34" s="108"/>
      <c r="H34" s="108" t="s">
        <v>194</v>
      </c>
      <c r="I34" s="108"/>
      <c r="J34" s="108"/>
      <c r="L34" s="110">
        <f>M34/$M$24</f>
        <v>1299.7277968451485</v>
      </c>
      <c r="M34" s="111">
        <v>1230</v>
      </c>
    </row>
    <row r="35" spans="5:16" ht="15.75" thickBot="1" x14ac:dyDescent="0.25">
      <c r="E35" s="109"/>
      <c r="F35" s="108" t="s">
        <v>176</v>
      </c>
      <c r="G35" s="108"/>
      <c r="H35" s="108" t="s">
        <v>191</v>
      </c>
      <c r="I35" s="108"/>
      <c r="J35" s="108"/>
    </row>
    <row r="39" spans="5:16" x14ac:dyDescent="0.2">
      <c r="E39" s="279" t="s">
        <v>365</v>
      </c>
      <c r="F39" s="280"/>
      <c r="G39" s="24">
        <v>1.25</v>
      </c>
    </row>
    <row r="40" spans="5:16" x14ac:dyDescent="0.2">
      <c r="E40" t="s">
        <v>367</v>
      </c>
    </row>
    <row r="41" spans="5:16" x14ac:dyDescent="0.2">
      <c r="E41" t="s">
        <v>368</v>
      </c>
    </row>
    <row r="42" spans="5:16" x14ac:dyDescent="0.2">
      <c r="E42" t="s">
        <v>369</v>
      </c>
    </row>
  </sheetData>
  <sheetProtection selectLockedCells="1"/>
  <mergeCells count="2">
    <mergeCell ref="E25:F25"/>
    <mergeCell ref="E39:F39"/>
  </mergeCells>
  <conditionalFormatting sqref="I3:I21">
    <cfRule type="dataBar" priority="26">
      <dataBar>
        <cfvo type="min"/>
        <cfvo type="max"/>
        <color rgb="FF638EC6"/>
      </dataBar>
      <extLst>
        <ext xmlns:x14="http://schemas.microsoft.com/office/spreadsheetml/2009/9/main" uri="{B025F937-C7B1-47D3-B67F-A62EFF666E3E}">
          <x14:id>{6323B7AE-0BE3-48C8-B45A-32C1434A768D}</x14:id>
        </ext>
      </extLst>
    </cfRule>
  </conditionalFormatting>
  <conditionalFormatting sqref="J3">
    <cfRule type="dataBar" priority="25">
      <dataBar>
        <cfvo type="min"/>
        <cfvo type="max"/>
        <color rgb="FFD6007B"/>
      </dataBar>
      <extLst>
        <ext xmlns:x14="http://schemas.microsoft.com/office/spreadsheetml/2009/9/main" uri="{B025F937-C7B1-47D3-B67F-A62EFF666E3E}">
          <x14:id>{D867B212-5333-4759-A15D-BF7A81A05E3E}</x14:id>
        </ext>
      </extLst>
    </cfRule>
  </conditionalFormatting>
  <conditionalFormatting sqref="G3">
    <cfRule type="dataBar" priority="23">
      <dataBar>
        <cfvo type="min"/>
        <cfvo type="max"/>
        <color rgb="FFFFB628"/>
      </dataBar>
      <extLst>
        <ext xmlns:x14="http://schemas.microsoft.com/office/spreadsheetml/2009/9/main" uri="{B025F937-C7B1-47D3-B67F-A62EFF666E3E}">
          <x14:id>{C4E810CD-2316-454D-985D-155DC2D4ADF0}</x14:id>
        </ext>
      </extLst>
    </cfRule>
  </conditionalFormatting>
  <conditionalFormatting sqref="H3:H21">
    <cfRule type="dataBar" priority="22">
      <dataBar>
        <cfvo type="min"/>
        <cfvo type="max"/>
        <color rgb="FFFF555A"/>
      </dataBar>
      <extLst>
        <ext xmlns:x14="http://schemas.microsoft.com/office/spreadsheetml/2009/9/main" uri="{B025F937-C7B1-47D3-B67F-A62EFF666E3E}">
          <x14:id>{B5C73BBB-FAA4-4142-BAB8-6859DD688848}</x14:id>
        </ext>
      </extLst>
    </cfRule>
  </conditionalFormatting>
  <conditionalFormatting sqref="M3:M21">
    <cfRule type="dataBar" priority="21">
      <dataBar>
        <cfvo type="min"/>
        <cfvo type="max"/>
        <color rgb="FFFF555A"/>
      </dataBar>
      <extLst>
        <ext xmlns:x14="http://schemas.microsoft.com/office/spreadsheetml/2009/9/main" uri="{B025F937-C7B1-47D3-B67F-A62EFF666E3E}">
          <x14:id>{5D7DF2E1-EDFB-4AC9-B26A-9A5BD43131BE}</x14:id>
        </ext>
      </extLst>
    </cfRule>
  </conditionalFormatting>
  <conditionalFormatting sqref="L3">
    <cfRule type="iconSet" priority="7">
      <iconSet iconSet="3Symbols">
        <cfvo type="percent" val="0"/>
        <cfvo type="percent" val="33"/>
        <cfvo type="percent" val="67"/>
      </iconSet>
    </cfRule>
  </conditionalFormatting>
  <conditionalFormatting sqref="K3">
    <cfRule type="iconSet" priority="6">
      <iconSet iconSet="3Symbols">
        <cfvo type="percent" val="0"/>
        <cfvo type="percent" val="33"/>
        <cfvo type="percent" val="67"/>
      </iconSet>
    </cfRule>
  </conditionalFormatting>
  <conditionalFormatting sqref="L4:L21">
    <cfRule type="iconSet" priority="5">
      <iconSet iconSet="3Symbols">
        <cfvo type="percent" val="0"/>
        <cfvo type="percent" val="33"/>
        <cfvo type="percent" val="67"/>
      </iconSet>
    </cfRule>
  </conditionalFormatting>
  <conditionalFormatting sqref="K4:K21">
    <cfRule type="iconSet" priority="4">
      <iconSet iconSet="3Symbols">
        <cfvo type="percent" val="0"/>
        <cfvo type="percent" val="33"/>
        <cfvo type="percent" val="67"/>
      </iconSet>
    </cfRule>
  </conditionalFormatting>
  <conditionalFormatting sqref="K3:L21">
    <cfRule type="iconSet" priority="3">
      <iconSet>
        <cfvo type="percent" val="0"/>
        <cfvo type="percent" val="33"/>
        <cfvo type="percent" val="67"/>
      </iconSet>
    </cfRule>
  </conditionalFormatting>
  <conditionalFormatting sqref="J4:J21">
    <cfRule type="dataBar" priority="2">
      <dataBar>
        <cfvo type="min"/>
        <cfvo type="max"/>
        <color rgb="FFD6007B"/>
      </dataBar>
      <extLst>
        <ext xmlns:x14="http://schemas.microsoft.com/office/spreadsheetml/2009/9/main" uri="{B025F937-C7B1-47D3-B67F-A62EFF666E3E}">
          <x14:id>{DF08C55C-7B7E-439D-B78F-B3F3ED9E6BFF}</x14:id>
        </ext>
      </extLst>
    </cfRule>
  </conditionalFormatting>
  <conditionalFormatting sqref="G4:G21">
    <cfRule type="dataBar" priority="1">
      <dataBar>
        <cfvo type="min"/>
        <cfvo type="max"/>
        <color rgb="FFFFB628"/>
      </dataBar>
      <extLst>
        <ext xmlns:x14="http://schemas.microsoft.com/office/spreadsheetml/2009/9/main" uri="{B025F937-C7B1-47D3-B67F-A62EFF666E3E}">
          <x14:id>{0FA1B241-3912-4734-A583-B7E8606AB3B0}</x14:id>
        </ext>
      </extLst>
    </cfRule>
  </conditionalFormatting>
  <pageMargins left="0.7" right="0.7" top="0.75" bottom="0.75" header="0.3" footer="0.3"/>
  <pageSetup scale="13" orientation="portrait" horizontalDpi="300" verticalDpi="300" r:id="rId1"/>
  <drawing r:id="rId2"/>
  <legacyDrawing r:id="rId3"/>
  <extLst>
    <ext xmlns:x14="http://schemas.microsoft.com/office/spreadsheetml/2009/9/main" uri="{78C0D931-6437-407d-A8EE-F0AAD7539E65}">
      <x14:conditionalFormattings>
        <x14:conditionalFormatting xmlns:xm="http://schemas.microsoft.com/office/excel/2006/main">
          <x14:cfRule type="dataBar" id="{6323B7AE-0BE3-48C8-B45A-32C1434A768D}">
            <x14:dataBar minLength="0" maxLength="100" border="1" negativeBarBorderColorSameAsPositive="0">
              <x14:cfvo type="autoMin"/>
              <x14:cfvo type="autoMax"/>
              <x14:borderColor rgb="FF638EC6"/>
              <x14:negativeFillColor rgb="FFFF0000"/>
              <x14:negativeBorderColor rgb="FFFF0000"/>
              <x14:axisColor rgb="FF000000"/>
            </x14:dataBar>
          </x14:cfRule>
          <xm:sqref>I3:I21</xm:sqref>
        </x14:conditionalFormatting>
        <x14:conditionalFormatting xmlns:xm="http://schemas.microsoft.com/office/excel/2006/main">
          <x14:cfRule type="dataBar" id="{D867B212-5333-4759-A15D-BF7A81A05E3E}">
            <x14:dataBar minLength="0" maxLength="100" border="1" negativeBarBorderColorSameAsPositive="0">
              <x14:cfvo type="autoMin"/>
              <x14:cfvo type="autoMax"/>
              <x14:borderColor rgb="FFD6007B"/>
              <x14:negativeFillColor rgb="FFFF0000"/>
              <x14:negativeBorderColor rgb="FFFF0000"/>
              <x14:axisColor rgb="FF000000"/>
            </x14:dataBar>
          </x14:cfRule>
          <xm:sqref>J3</xm:sqref>
        </x14:conditionalFormatting>
        <x14:conditionalFormatting xmlns:xm="http://schemas.microsoft.com/office/excel/2006/main">
          <x14:cfRule type="dataBar" id="{C4E810CD-2316-454D-985D-155DC2D4ADF0}">
            <x14:dataBar minLength="0" maxLength="100" border="1" negativeBarBorderColorSameAsPositive="0">
              <x14:cfvo type="autoMin"/>
              <x14:cfvo type="autoMax"/>
              <x14:borderColor rgb="FFFFB628"/>
              <x14:negativeFillColor rgb="FFFF0000"/>
              <x14:negativeBorderColor rgb="FFFF0000"/>
              <x14:axisColor rgb="FF000000"/>
            </x14:dataBar>
          </x14:cfRule>
          <xm:sqref>G3</xm:sqref>
        </x14:conditionalFormatting>
        <x14:conditionalFormatting xmlns:xm="http://schemas.microsoft.com/office/excel/2006/main">
          <x14:cfRule type="dataBar" id="{B5C73BBB-FAA4-4142-BAB8-6859DD688848}">
            <x14:dataBar minLength="0" maxLength="100" border="1" negativeBarBorderColorSameAsPositive="0">
              <x14:cfvo type="autoMin"/>
              <x14:cfvo type="autoMax"/>
              <x14:borderColor rgb="FFFF555A"/>
              <x14:negativeFillColor rgb="FFFF0000"/>
              <x14:negativeBorderColor rgb="FFFF0000"/>
              <x14:axisColor rgb="FF000000"/>
            </x14:dataBar>
          </x14:cfRule>
          <xm:sqref>H3:H21</xm:sqref>
        </x14:conditionalFormatting>
        <x14:conditionalFormatting xmlns:xm="http://schemas.microsoft.com/office/excel/2006/main">
          <x14:cfRule type="dataBar" id="{5D7DF2E1-EDFB-4AC9-B26A-9A5BD43131BE}">
            <x14:dataBar minLength="0" maxLength="100" border="1" negativeBarBorderColorSameAsPositive="0">
              <x14:cfvo type="autoMin"/>
              <x14:cfvo type="autoMax"/>
              <x14:borderColor rgb="FFFF555A"/>
              <x14:negativeFillColor rgb="FFFF0000"/>
              <x14:negativeBorderColor rgb="FFFF0000"/>
              <x14:axisColor rgb="FF000000"/>
            </x14:dataBar>
          </x14:cfRule>
          <xm:sqref>M3:M21</xm:sqref>
        </x14:conditionalFormatting>
        <x14:conditionalFormatting xmlns:xm="http://schemas.microsoft.com/office/excel/2006/main">
          <x14:cfRule type="dataBar" id="{DF08C55C-7B7E-439D-B78F-B3F3ED9E6BFF}">
            <x14:dataBar minLength="0" maxLength="100" border="1" negativeBarBorderColorSameAsPositive="0">
              <x14:cfvo type="autoMin"/>
              <x14:cfvo type="autoMax"/>
              <x14:borderColor rgb="FFD6007B"/>
              <x14:negativeFillColor rgb="FFFF0000"/>
              <x14:negativeBorderColor rgb="FFFF0000"/>
              <x14:axisColor rgb="FF000000"/>
            </x14:dataBar>
          </x14:cfRule>
          <xm:sqref>J4:J21</xm:sqref>
        </x14:conditionalFormatting>
        <x14:conditionalFormatting xmlns:xm="http://schemas.microsoft.com/office/excel/2006/main">
          <x14:cfRule type="dataBar" id="{0FA1B241-3912-4734-A583-B7E8606AB3B0}">
            <x14:dataBar minLength="0" maxLength="100" border="1" negativeBarBorderColorSameAsPositive="0">
              <x14:cfvo type="autoMin"/>
              <x14:cfvo type="autoMax"/>
              <x14:borderColor rgb="FFFFB628"/>
              <x14:negativeFillColor rgb="FFFF0000"/>
              <x14:negativeBorderColor rgb="FFFF0000"/>
              <x14:axisColor rgb="FF000000"/>
            </x14:dataBar>
          </x14:cfRule>
          <xm:sqref>G4:G21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8F9F9-273C-4604-AFB2-05EF94BB869A}">
  <dimension ref="C3:R58"/>
  <sheetViews>
    <sheetView workbookViewId="0">
      <selection activeCell="D28" sqref="D28"/>
    </sheetView>
  </sheetViews>
  <sheetFormatPr defaultRowHeight="12.75" x14ac:dyDescent="0.2"/>
  <cols>
    <col min="3" max="3" width="18.42578125" customWidth="1"/>
    <col min="4" max="4" width="20.85546875" customWidth="1"/>
    <col min="5" max="5" width="17.7109375" customWidth="1"/>
    <col min="6" max="11" width="16.42578125" customWidth="1"/>
    <col min="12" max="12" width="23" customWidth="1"/>
    <col min="15" max="15" width="19.5703125" customWidth="1"/>
  </cols>
  <sheetData>
    <row r="3" spans="3:18" x14ac:dyDescent="0.2">
      <c r="D3" s="91" t="s">
        <v>76</v>
      </c>
    </row>
    <row r="4" spans="3:18" x14ac:dyDescent="0.2">
      <c r="D4" s="91" t="s">
        <v>78</v>
      </c>
    </row>
    <row r="5" spans="3:18" x14ac:dyDescent="0.2">
      <c r="D5" s="91" t="s">
        <v>80</v>
      </c>
      <c r="E5" s="116">
        <v>0.75</v>
      </c>
      <c r="F5" s="26" t="s">
        <v>81</v>
      </c>
    </row>
    <row r="6" spans="3:18" x14ac:dyDescent="0.2">
      <c r="D6" s="26" t="s">
        <v>84</v>
      </c>
    </row>
    <row r="8" spans="3:18" x14ac:dyDescent="0.2">
      <c r="E8" s="281" t="s">
        <v>85</v>
      </c>
      <c r="F8" s="282"/>
      <c r="G8" s="283" t="s">
        <v>86</v>
      </c>
      <c r="H8" s="284"/>
      <c r="I8" s="97" t="s">
        <v>87</v>
      </c>
      <c r="J8" s="24" t="s">
        <v>88</v>
      </c>
      <c r="K8" s="24" t="s">
        <v>88</v>
      </c>
      <c r="L8" s="165" t="s">
        <v>286</v>
      </c>
    </row>
    <row r="9" spans="3:18" x14ac:dyDescent="0.2">
      <c r="C9" s="91" t="s">
        <v>89</v>
      </c>
      <c r="D9" s="24" t="s">
        <v>87</v>
      </c>
      <c r="E9" s="27" t="s">
        <v>90</v>
      </c>
      <c r="F9" s="27" t="s">
        <v>91</v>
      </c>
      <c r="G9" s="25" t="s">
        <v>90</v>
      </c>
      <c r="H9" s="25" t="s">
        <v>92</v>
      </c>
      <c r="I9" s="24" t="s">
        <v>93</v>
      </c>
      <c r="J9" s="24" t="s">
        <v>94</v>
      </c>
      <c r="K9" s="24" t="s">
        <v>94</v>
      </c>
      <c r="L9" s="174" t="s">
        <v>285</v>
      </c>
      <c r="O9" t="s">
        <v>1</v>
      </c>
      <c r="P9" s="32" t="s">
        <v>2</v>
      </c>
    </row>
    <row r="10" spans="3:18" x14ac:dyDescent="0.2">
      <c r="C10" t="str">
        <f t="shared" ref="C10:C52" si="0">RIGHT(D10,LEN(D10)-4)</f>
        <v>Athabasca</v>
      </c>
      <c r="D10" s="97" t="s">
        <v>95</v>
      </c>
      <c r="E10" s="27">
        <v>58</v>
      </c>
      <c r="F10" s="27">
        <v>58</v>
      </c>
      <c r="G10" s="25">
        <v>72</v>
      </c>
      <c r="H10" s="25">
        <v>101</v>
      </c>
      <c r="I10" s="24">
        <v>54.7</v>
      </c>
      <c r="J10" s="24">
        <f t="shared" ref="J10:J57" si="1">I10+15</f>
        <v>69.7</v>
      </c>
      <c r="K10" s="24">
        <f t="shared" ref="K10:K41" si="2">ROUND(2*J10,-1)/2</f>
        <v>70</v>
      </c>
      <c r="L10" s="170">
        <v>-9</v>
      </c>
      <c r="O10" t="s">
        <v>1</v>
      </c>
      <c r="P10" s="32" t="s">
        <v>3</v>
      </c>
    </row>
    <row r="11" spans="3:18" x14ac:dyDescent="0.2">
      <c r="C11" t="str">
        <f t="shared" si="0"/>
        <v>Bonnyville</v>
      </c>
      <c r="D11" s="97" t="s">
        <v>97</v>
      </c>
      <c r="E11" s="27">
        <v>61</v>
      </c>
      <c r="F11" s="27">
        <v>61</v>
      </c>
      <c r="G11" s="25">
        <v>71</v>
      </c>
      <c r="H11" s="25">
        <v>101</v>
      </c>
      <c r="I11" s="24">
        <v>54.3</v>
      </c>
      <c r="J11" s="24">
        <f t="shared" si="1"/>
        <v>69.3</v>
      </c>
      <c r="K11" s="24">
        <f t="shared" si="2"/>
        <v>70</v>
      </c>
      <c r="L11" s="170">
        <v>-10</v>
      </c>
      <c r="O11" s="91" t="s">
        <v>5</v>
      </c>
      <c r="P11" s="91" t="s">
        <v>6</v>
      </c>
    </row>
    <row r="12" spans="3:18" x14ac:dyDescent="0.2">
      <c r="C12" t="str">
        <f t="shared" si="0"/>
        <v>Brooks</v>
      </c>
      <c r="D12" s="97" t="s">
        <v>99</v>
      </c>
      <c r="E12" s="27">
        <v>74</v>
      </c>
      <c r="F12" s="27">
        <v>75</v>
      </c>
      <c r="G12" s="25">
        <v>71</v>
      </c>
      <c r="H12" s="25">
        <v>110</v>
      </c>
      <c r="I12" s="24">
        <v>50.6</v>
      </c>
      <c r="J12" s="24">
        <f t="shared" si="1"/>
        <v>65.599999999999994</v>
      </c>
      <c r="K12" s="24">
        <f t="shared" si="2"/>
        <v>65</v>
      </c>
      <c r="L12" s="170">
        <v>-4</v>
      </c>
      <c r="O12" s="26" t="s">
        <v>7</v>
      </c>
      <c r="R12" t="s">
        <v>349</v>
      </c>
    </row>
    <row r="13" spans="3:18" x14ac:dyDescent="0.2">
      <c r="C13" t="str">
        <f t="shared" si="0"/>
        <v>Calgary</v>
      </c>
      <c r="D13" s="97" t="s">
        <v>100</v>
      </c>
      <c r="E13" s="27">
        <v>71</v>
      </c>
      <c r="F13" s="27">
        <v>71</v>
      </c>
      <c r="G13" s="25">
        <v>69</v>
      </c>
      <c r="H13" s="25">
        <v>105</v>
      </c>
      <c r="I13" s="24">
        <v>51</v>
      </c>
      <c r="J13" s="24">
        <f t="shared" si="1"/>
        <v>66</v>
      </c>
      <c r="K13" s="24">
        <f t="shared" si="2"/>
        <v>65</v>
      </c>
      <c r="L13" s="170">
        <v>-2</v>
      </c>
      <c r="O13" s="91" t="s">
        <v>351</v>
      </c>
      <c r="P13" s="91" t="s">
        <v>8</v>
      </c>
      <c r="R13" s="26" t="s">
        <v>352</v>
      </c>
    </row>
    <row r="14" spans="3:18" x14ac:dyDescent="0.2">
      <c r="C14" t="str">
        <f t="shared" si="0"/>
        <v>Dawson Creek</v>
      </c>
      <c r="D14" s="97" t="s">
        <v>103</v>
      </c>
      <c r="E14" s="27">
        <v>56</v>
      </c>
      <c r="F14" s="27">
        <v>56</v>
      </c>
      <c r="G14" s="25">
        <v>76</v>
      </c>
      <c r="H14" s="25">
        <v>103</v>
      </c>
      <c r="I14" s="24">
        <v>55.7</v>
      </c>
      <c r="J14" s="24">
        <f t="shared" si="1"/>
        <v>70.7</v>
      </c>
      <c r="K14" s="24">
        <f t="shared" si="2"/>
        <v>70</v>
      </c>
      <c r="L14" s="170">
        <v>-7</v>
      </c>
      <c r="O14" s="26" t="s">
        <v>10</v>
      </c>
    </row>
    <row r="15" spans="3:18" x14ac:dyDescent="0.2">
      <c r="C15" t="str">
        <f t="shared" si="0"/>
        <v>Drayton Valley</v>
      </c>
      <c r="D15" s="97" t="s">
        <v>104</v>
      </c>
      <c r="E15" s="27">
        <v>56</v>
      </c>
      <c r="F15" s="27">
        <v>56</v>
      </c>
      <c r="G15" s="25">
        <v>70</v>
      </c>
      <c r="H15" s="25">
        <v>100</v>
      </c>
      <c r="I15" s="24">
        <v>53.2</v>
      </c>
      <c r="J15" s="24">
        <f t="shared" si="1"/>
        <v>68.2</v>
      </c>
      <c r="K15" s="24">
        <f t="shared" si="2"/>
        <v>70</v>
      </c>
      <c r="L15" s="170">
        <v>-5</v>
      </c>
      <c r="O15" s="26" t="s">
        <v>350</v>
      </c>
    </row>
    <row r="16" spans="3:18" x14ac:dyDescent="0.2">
      <c r="C16" t="str">
        <f t="shared" si="0"/>
        <v>Drumheller</v>
      </c>
      <c r="D16" s="97" t="s">
        <v>106</v>
      </c>
      <c r="E16" s="27">
        <v>74</v>
      </c>
      <c r="F16" s="27">
        <v>74</v>
      </c>
      <c r="G16" s="25">
        <v>72</v>
      </c>
      <c r="H16" s="25">
        <v>108</v>
      </c>
      <c r="I16" s="24">
        <v>51.4</v>
      </c>
      <c r="J16" s="24">
        <f t="shared" si="1"/>
        <v>66.400000000000006</v>
      </c>
      <c r="K16" s="24">
        <f t="shared" si="2"/>
        <v>65</v>
      </c>
      <c r="L16" s="170">
        <v>-6</v>
      </c>
    </row>
    <row r="17" spans="3:15" x14ac:dyDescent="0.2">
      <c r="C17" t="str">
        <f t="shared" si="0"/>
        <v>Edmonton</v>
      </c>
      <c r="D17" s="97" t="s">
        <v>107</v>
      </c>
      <c r="E17" s="27">
        <v>63</v>
      </c>
      <c r="F17" s="27">
        <v>63</v>
      </c>
      <c r="G17" s="25">
        <v>72</v>
      </c>
      <c r="H17" s="25">
        <v>103</v>
      </c>
      <c r="I17" s="24">
        <v>53.6</v>
      </c>
      <c r="J17" s="24">
        <f t="shared" si="1"/>
        <v>68.599999999999994</v>
      </c>
      <c r="K17" s="24">
        <f t="shared" si="2"/>
        <v>70</v>
      </c>
      <c r="L17" s="170">
        <v>-7</v>
      </c>
      <c r="O17" s="91" t="s">
        <v>348</v>
      </c>
    </row>
    <row r="18" spans="3:15" x14ac:dyDescent="0.2">
      <c r="C18" t="str">
        <f t="shared" si="0"/>
        <v>Edson</v>
      </c>
      <c r="D18" s="97" t="s">
        <v>108</v>
      </c>
      <c r="E18" s="27">
        <v>53</v>
      </c>
      <c r="F18" s="27">
        <v>53</v>
      </c>
      <c r="G18" s="25">
        <v>70</v>
      </c>
      <c r="H18" s="25">
        <v>100</v>
      </c>
      <c r="I18" s="24">
        <v>53.6</v>
      </c>
      <c r="J18" s="24">
        <f t="shared" si="1"/>
        <v>68.599999999999994</v>
      </c>
      <c r="K18" s="24">
        <f t="shared" si="2"/>
        <v>70</v>
      </c>
      <c r="L18" s="170">
        <v>-6</v>
      </c>
      <c r="O18" s="26" t="s">
        <v>307</v>
      </c>
    </row>
    <row r="19" spans="3:15" x14ac:dyDescent="0.2">
      <c r="C19" t="str">
        <f t="shared" si="0"/>
        <v>Estevan</v>
      </c>
      <c r="D19" s="97" t="s">
        <v>110</v>
      </c>
      <c r="E19" s="119">
        <f>82</f>
        <v>82</v>
      </c>
      <c r="F19" s="27">
        <v>83</v>
      </c>
      <c r="G19" s="25">
        <v>68</v>
      </c>
      <c r="H19" s="25">
        <v>108</v>
      </c>
      <c r="I19" s="24">
        <v>49.1</v>
      </c>
      <c r="J19" s="24">
        <f t="shared" si="1"/>
        <v>64.099999999999994</v>
      </c>
      <c r="K19" s="24">
        <f t="shared" si="2"/>
        <v>65</v>
      </c>
      <c r="L19" s="170">
        <v>-8</v>
      </c>
    </row>
    <row r="20" spans="3:15" x14ac:dyDescent="0.2">
      <c r="C20" t="str">
        <f t="shared" si="0"/>
        <v>Fort McMurray</v>
      </c>
      <c r="D20" s="97" t="s">
        <v>113</v>
      </c>
      <c r="E20" s="27">
        <v>54</v>
      </c>
      <c r="F20" s="27">
        <v>53</v>
      </c>
      <c r="G20" s="25">
        <v>73</v>
      </c>
      <c r="H20" s="25">
        <v>99</v>
      </c>
      <c r="I20" s="24">
        <v>56.7</v>
      </c>
      <c r="J20" s="24">
        <f t="shared" si="1"/>
        <v>71.7</v>
      </c>
      <c r="K20" s="24">
        <f t="shared" si="2"/>
        <v>70</v>
      </c>
      <c r="L20" s="170">
        <v>-12</v>
      </c>
    </row>
    <row r="21" spans="3:15" x14ac:dyDescent="0.2">
      <c r="C21" t="str">
        <f t="shared" si="0"/>
        <v>Ft. Nelson</v>
      </c>
      <c r="D21" s="97" t="s">
        <v>114</v>
      </c>
      <c r="E21" s="27">
        <v>40</v>
      </c>
      <c r="F21" s="27">
        <v>39</v>
      </c>
      <c r="G21" s="25">
        <v>77</v>
      </c>
      <c r="H21" s="25">
        <v>100</v>
      </c>
      <c r="I21" s="24">
        <v>58.8</v>
      </c>
      <c r="J21" s="24">
        <f t="shared" si="1"/>
        <v>73.8</v>
      </c>
      <c r="K21" s="24">
        <f t="shared" si="2"/>
        <v>75</v>
      </c>
      <c r="L21" s="170">
        <v>-15</v>
      </c>
    </row>
    <row r="22" spans="3:15" x14ac:dyDescent="0.2">
      <c r="C22" t="str">
        <f t="shared" si="0"/>
        <v>Grande Praire</v>
      </c>
      <c r="D22" s="97" t="s">
        <v>116</v>
      </c>
      <c r="E22" s="27">
        <v>56</v>
      </c>
      <c r="F22" s="27">
        <v>56</v>
      </c>
      <c r="G22" s="25">
        <v>74</v>
      </c>
      <c r="H22" s="25">
        <v>102</v>
      </c>
      <c r="I22" s="24">
        <v>55.1</v>
      </c>
      <c r="J22" s="24">
        <f t="shared" si="1"/>
        <v>70.099999999999994</v>
      </c>
      <c r="K22" s="24">
        <f t="shared" si="2"/>
        <v>70</v>
      </c>
      <c r="L22" s="170">
        <v>-8</v>
      </c>
    </row>
    <row r="23" spans="3:15" x14ac:dyDescent="0.2">
      <c r="C23" t="str">
        <f t="shared" si="0"/>
        <v>High Level</v>
      </c>
      <c r="D23" s="97" t="s">
        <v>117</v>
      </c>
      <c r="E23" s="27">
        <v>47</v>
      </c>
      <c r="F23" s="27">
        <v>47</v>
      </c>
      <c r="G23" s="25">
        <v>79</v>
      </c>
      <c r="H23" s="25">
        <v>103</v>
      </c>
      <c r="I23" s="24">
        <v>58.5</v>
      </c>
      <c r="J23" s="24">
        <f t="shared" si="1"/>
        <v>73.5</v>
      </c>
      <c r="K23" s="24">
        <f t="shared" si="2"/>
        <v>75</v>
      </c>
      <c r="L23" s="170">
        <v>-15</v>
      </c>
    </row>
    <row r="24" spans="3:15" x14ac:dyDescent="0.2">
      <c r="C24" t="str">
        <f t="shared" si="0"/>
        <v>Lloydminster</v>
      </c>
      <c r="D24" s="97" t="s">
        <v>118</v>
      </c>
      <c r="E24" s="27">
        <v>65</v>
      </c>
      <c r="F24" s="27">
        <v>65</v>
      </c>
      <c r="G24" s="25">
        <v>70</v>
      </c>
      <c r="H24" s="25">
        <v>103</v>
      </c>
      <c r="I24" s="24">
        <v>53.3</v>
      </c>
      <c r="J24" s="24">
        <f t="shared" si="1"/>
        <v>68.3</v>
      </c>
      <c r="K24" s="24">
        <f t="shared" si="2"/>
        <v>70</v>
      </c>
      <c r="L24" s="170">
        <v>-10</v>
      </c>
    </row>
    <row r="25" spans="3:15" x14ac:dyDescent="0.2">
      <c r="C25" t="str">
        <f t="shared" si="0"/>
        <v>Medicine Hat</v>
      </c>
      <c r="D25" s="97" t="s">
        <v>119</v>
      </c>
      <c r="E25" s="27">
        <v>74</v>
      </c>
      <c r="F25" s="27">
        <v>75</v>
      </c>
      <c r="G25" s="25">
        <v>72</v>
      </c>
      <c r="H25" s="25">
        <v>111</v>
      </c>
      <c r="I25" s="24">
        <v>50</v>
      </c>
      <c r="J25" s="24">
        <f t="shared" si="1"/>
        <v>65</v>
      </c>
      <c r="K25" s="24">
        <f t="shared" si="2"/>
        <v>65</v>
      </c>
      <c r="L25" s="170">
        <v>-3</v>
      </c>
    </row>
    <row r="26" spans="3:15" x14ac:dyDescent="0.2">
      <c r="C26" t="str">
        <f t="shared" si="0"/>
        <v>Pink Mountain</v>
      </c>
      <c r="D26" s="97" t="s">
        <v>120</v>
      </c>
      <c r="E26" s="27">
        <v>45</v>
      </c>
      <c r="F26" s="27">
        <v>45</v>
      </c>
      <c r="G26" s="25">
        <v>74</v>
      </c>
      <c r="H26" s="25">
        <v>98</v>
      </c>
      <c r="I26" s="24">
        <v>57</v>
      </c>
      <c r="J26" s="24">
        <f t="shared" si="1"/>
        <v>72</v>
      </c>
      <c r="K26" s="24">
        <f t="shared" si="2"/>
        <v>70</v>
      </c>
      <c r="L26" s="170">
        <v>-15</v>
      </c>
    </row>
    <row r="27" spans="3:15" x14ac:dyDescent="0.2">
      <c r="C27" t="str">
        <f t="shared" si="0"/>
        <v>Ponoka</v>
      </c>
      <c r="D27" s="97" t="s">
        <v>121</v>
      </c>
      <c r="E27" s="27">
        <v>67</v>
      </c>
      <c r="F27" s="27">
        <v>67</v>
      </c>
      <c r="G27" s="25">
        <v>71</v>
      </c>
      <c r="H27" s="25">
        <v>104</v>
      </c>
      <c r="I27" s="24">
        <v>52.7</v>
      </c>
      <c r="J27" s="24">
        <f t="shared" si="1"/>
        <v>67.7</v>
      </c>
      <c r="K27" s="24">
        <f t="shared" si="2"/>
        <v>70</v>
      </c>
      <c r="L27" s="170">
        <v>-6</v>
      </c>
    </row>
    <row r="28" spans="3:15" x14ac:dyDescent="0.2">
      <c r="C28" t="str">
        <f t="shared" si="0"/>
        <v>Prince George</v>
      </c>
      <c r="D28" s="97" t="s">
        <v>122</v>
      </c>
      <c r="E28" s="27">
        <v>38</v>
      </c>
      <c r="F28" s="27">
        <v>38</v>
      </c>
      <c r="G28" s="25">
        <v>71</v>
      </c>
      <c r="H28" s="25">
        <v>99</v>
      </c>
      <c r="I28" s="24">
        <v>53.9</v>
      </c>
      <c r="J28" s="24">
        <f t="shared" si="1"/>
        <v>68.900000000000006</v>
      </c>
      <c r="K28" s="24">
        <f t="shared" si="2"/>
        <v>70</v>
      </c>
      <c r="L28" s="170">
        <v>-5</v>
      </c>
    </row>
    <row r="29" spans="3:15" x14ac:dyDescent="0.2">
      <c r="C29" t="str">
        <f t="shared" si="0"/>
        <v>Red Deer</v>
      </c>
      <c r="D29" s="97" t="s">
        <v>123</v>
      </c>
      <c r="E29" s="27">
        <v>68</v>
      </c>
      <c r="F29" s="27">
        <v>68</v>
      </c>
      <c r="G29" s="25">
        <v>70</v>
      </c>
      <c r="H29" s="25">
        <v>104</v>
      </c>
      <c r="I29" s="24">
        <v>52.3</v>
      </c>
      <c r="J29" s="24">
        <f t="shared" si="1"/>
        <v>67.3</v>
      </c>
      <c r="K29" s="24">
        <f t="shared" si="2"/>
        <v>65</v>
      </c>
      <c r="L29" s="170">
        <v>-6</v>
      </c>
    </row>
    <row r="30" spans="3:15" x14ac:dyDescent="0.2">
      <c r="C30" t="str">
        <f t="shared" si="0"/>
        <v>Rimbey</v>
      </c>
      <c r="D30" s="97" t="s">
        <v>124</v>
      </c>
      <c r="E30" s="27">
        <v>63</v>
      </c>
      <c r="F30" s="27">
        <v>63</v>
      </c>
      <c r="G30" s="25">
        <v>70</v>
      </c>
      <c r="H30" s="25">
        <v>103</v>
      </c>
      <c r="I30" s="24">
        <v>52.6</v>
      </c>
      <c r="J30" s="24">
        <f t="shared" si="1"/>
        <v>67.599999999999994</v>
      </c>
      <c r="K30" s="24">
        <f t="shared" si="2"/>
        <v>70</v>
      </c>
      <c r="L30" s="170">
        <v>-6</v>
      </c>
    </row>
    <row r="31" spans="3:15" x14ac:dyDescent="0.2">
      <c r="C31" t="str">
        <f t="shared" si="0"/>
        <v>Slave Lake</v>
      </c>
      <c r="D31" s="97" t="s">
        <v>125</v>
      </c>
      <c r="E31" s="27">
        <v>53</v>
      </c>
      <c r="F31" s="27">
        <v>53</v>
      </c>
      <c r="G31" s="25">
        <v>73</v>
      </c>
      <c r="H31" s="25">
        <v>101</v>
      </c>
      <c r="I31" s="24">
        <v>55.3</v>
      </c>
      <c r="J31" s="24">
        <f t="shared" si="1"/>
        <v>70.3</v>
      </c>
      <c r="K31" s="24">
        <f t="shared" si="2"/>
        <v>70</v>
      </c>
      <c r="L31" s="170">
        <v>-9</v>
      </c>
    </row>
    <row r="32" spans="3:15" x14ac:dyDescent="0.2">
      <c r="C32" t="str">
        <f t="shared" si="0"/>
        <v>Swift Current</v>
      </c>
      <c r="D32" s="97" t="s">
        <v>126</v>
      </c>
      <c r="E32" s="27">
        <v>73</v>
      </c>
      <c r="F32" s="27">
        <v>73</v>
      </c>
      <c r="G32" s="25">
        <v>71</v>
      </c>
      <c r="H32" s="25">
        <v>110</v>
      </c>
      <c r="I32" s="24">
        <v>50.3</v>
      </c>
      <c r="J32" s="24">
        <f t="shared" si="1"/>
        <v>65.3</v>
      </c>
      <c r="K32" s="24">
        <f t="shared" si="2"/>
        <v>65</v>
      </c>
      <c r="L32" s="170">
        <v>-6</v>
      </c>
    </row>
    <row r="33" spans="3:12" x14ac:dyDescent="0.2">
      <c r="C33" t="str">
        <f t="shared" si="0"/>
        <v>Valleyview</v>
      </c>
      <c r="D33" s="97" t="s">
        <v>127</v>
      </c>
      <c r="E33" s="27">
        <v>54</v>
      </c>
      <c r="F33" s="27">
        <v>54</v>
      </c>
      <c r="G33" s="25">
        <v>72</v>
      </c>
      <c r="H33" s="25">
        <v>101</v>
      </c>
      <c r="I33" s="24">
        <v>55</v>
      </c>
      <c r="J33" s="24">
        <f t="shared" si="1"/>
        <v>70</v>
      </c>
      <c r="K33" s="24">
        <f t="shared" si="2"/>
        <v>70</v>
      </c>
      <c r="L33" s="170">
        <v>-7</v>
      </c>
    </row>
    <row r="34" spans="3:12" x14ac:dyDescent="0.2">
      <c r="C34" t="str">
        <f t="shared" si="0"/>
        <v>Weyburn</v>
      </c>
      <c r="D34" s="97" t="s">
        <v>128</v>
      </c>
      <c r="E34" s="27">
        <v>81</v>
      </c>
      <c r="F34" s="27">
        <v>81</v>
      </c>
      <c r="G34" s="25">
        <v>69</v>
      </c>
      <c r="H34" s="25">
        <v>109</v>
      </c>
      <c r="I34" s="24">
        <v>49.6</v>
      </c>
      <c r="J34" s="24">
        <f t="shared" si="1"/>
        <v>64.599999999999994</v>
      </c>
      <c r="K34" s="24">
        <f t="shared" si="2"/>
        <v>65</v>
      </c>
      <c r="L34" s="170">
        <v>-8</v>
      </c>
    </row>
    <row r="35" spans="3:12" x14ac:dyDescent="0.2">
      <c r="C35" t="str">
        <f t="shared" si="0"/>
        <v>Whitecourt</v>
      </c>
      <c r="D35" s="97" t="s">
        <v>129</v>
      </c>
      <c r="E35" s="27">
        <v>53</v>
      </c>
      <c r="F35" s="27">
        <v>53</v>
      </c>
      <c r="G35" s="25">
        <v>70</v>
      </c>
      <c r="H35" s="25">
        <v>100</v>
      </c>
      <c r="I35" s="24">
        <v>54.1</v>
      </c>
      <c r="J35" s="24">
        <f t="shared" si="1"/>
        <v>69.099999999999994</v>
      </c>
      <c r="K35" s="24">
        <f t="shared" si="2"/>
        <v>70</v>
      </c>
      <c r="L35" s="170">
        <v>-7</v>
      </c>
    </row>
    <row r="36" spans="3:12" x14ac:dyDescent="0.2">
      <c r="C36" t="str">
        <f t="shared" si="0"/>
        <v>Arkansas - Ft Smith</v>
      </c>
      <c r="D36" s="97" t="s">
        <v>130</v>
      </c>
      <c r="E36" s="119">
        <f>2.3*30</f>
        <v>69</v>
      </c>
      <c r="F36" s="119">
        <f>4.4*30</f>
        <v>132</v>
      </c>
      <c r="G36" s="25">
        <f>2.3*30</f>
        <v>69</v>
      </c>
      <c r="H36" s="25">
        <f>5.2*30</f>
        <v>156</v>
      </c>
      <c r="I36" s="24">
        <v>34.700000000000003</v>
      </c>
      <c r="J36" s="24">
        <f t="shared" si="1"/>
        <v>49.7</v>
      </c>
      <c r="K36" s="24">
        <f t="shared" si="2"/>
        <v>50</v>
      </c>
      <c r="L36" s="170">
        <v>10</v>
      </c>
    </row>
    <row r="37" spans="3:12" x14ac:dyDescent="0.2">
      <c r="C37" t="str">
        <f t="shared" si="0"/>
        <v>California-Bakersfield</v>
      </c>
      <c r="D37" s="97" t="s">
        <v>131</v>
      </c>
      <c r="E37" s="27">
        <f>3*30</f>
        <v>90</v>
      </c>
      <c r="F37" s="27">
        <f>3.4*30</f>
        <v>102</v>
      </c>
      <c r="G37" s="25">
        <f>2.4*30</f>
        <v>72</v>
      </c>
      <c r="H37" s="25">
        <f>6.1*30</f>
        <v>183</v>
      </c>
      <c r="I37" s="24">
        <v>35.4</v>
      </c>
      <c r="J37" s="24">
        <f t="shared" si="1"/>
        <v>50.4</v>
      </c>
      <c r="K37" s="24">
        <f t="shared" si="2"/>
        <v>50</v>
      </c>
      <c r="L37" s="170">
        <v>15</v>
      </c>
    </row>
    <row r="38" spans="3:12" x14ac:dyDescent="0.2">
      <c r="C38" t="str">
        <f t="shared" si="0"/>
        <v>Colorado-Boulder</v>
      </c>
      <c r="D38" s="97" t="s">
        <v>132</v>
      </c>
      <c r="E38" s="27">
        <f>4.3*30</f>
        <v>129</v>
      </c>
      <c r="F38" s="27">
        <f>4.5*30</f>
        <v>135</v>
      </c>
      <c r="G38" s="25">
        <f>2.6*30</f>
        <v>78</v>
      </c>
      <c r="H38" s="25">
        <f>5.2*30</f>
        <v>156</v>
      </c>
      <c r="I38" s="24">
        <v>40</v>
      </c>
      <c r="J38" s="24">
        <f t="shared" si="1"/>
        <v>55</v>
      </c>
      <c r="K38" s="24">
        <f t="shared" si="2"/>
        <v>55</v>
      </c>
      <c r="L38" s="170">
        <v>6</v>
      </c>
    </row>
    <row r="39" spans="3:12" x14ac:dyDescent="0.2">
      <c r="C39" t="str">
        <f t="shared" si="0"/>
        <v>Louisiana-Shreveport</v>
      </c>
      <c r="D39" s="97" t="s">
        <v>133</v>
      </c>
      <c r="E39" s="27">
        <f>2*30</f>
        <v>60</v>
      </c>
      <c r="F39" s="27">
        <f>3.9*30</f>
        <v>117</v>
      </c>
      <c r="G39" s="25">
        <f>2.6*30</f>
        <v>78</v>
      </c>
      <c r="H39" s="25">
        <f>5.2*30</f>
        <v>156</v>
      </c>
      <c r="I39" s="24">
        <v>32.47</v>
      </c>
      <c r="J39" s="24">
        <f t="shared" si="1"/>
        <v>47.47</v>
      </c>
      <c r="K39" s="24">
        <f t="shared" si="2"/>
        <v>45</v>
      </c>
      <c r="L39" s="170">
        <v>13</v>
      </c>
    </row>
    <row r="40" spans="3:12" x14ac:dyDescent="0.2">
      <c r="C40" t="str">
        <f t="shared" si="0"/>
        <v>New Mexico-Albuquerque</v>
      </c>
      <c r="D40" s="97" t="s">
        <v>134</v>
      </c>
      <c r="E40" s="27">
        <v>70</v>
      </c>
      <c r="F40" s="27">
        <f>5.5*30</f>
        <v>165</v>
      </c>
      <c r="G40" s="25">
        <f>2.4*30</f>
        <v>72</v>
      </c>
      <c r="H40" s="25">
        <f>6.1*30</f>
        <v>183</v>
      </c>
      <c r="I40" s="24">
        <v>35</v>
      </c>
      <c r="J40" s="24">
        <f t="shared" si="1"/>
        <v>50</v>
      </c>
      <c r="K40" s="24">
        <f t="shared" si="2"/>
        <v>50</v>
      </c>
      <c r="L40" s="170">
        <v>9</v>
      </c>
    </row>
    <row r="41" spans="3:12" x14ac:dyDescent="0.2">
      <c r="C41" t="str">
        <f t="shared" si="0"/>
        <v>New Mexico-Artesia</v>
      </c>
      <c r="D41" s="97" t="s">
        <v>135</v>
      </c>
      <c r="E41" s="27">
        <v>70</v>
      </c>
      <c r="F41" s="27">
        <f>4*30</f>
        <v>120</v>
      </c>
      <c r="G41" s="25">
        <v>68</v>
      </c>
      <c r="H41" s="25">
        <v>182</v>
      </c>
      <c r="I41" s="24">
        <v>32.799999999999997</v>
      </c>
      <c r="J41" s="24">
        <f t="shared" si="1"/>
        <v>47.8</v>
      </c>
      <c r="K41" s="24">
        <f t="shared" si="2"/>
        <v>50</v>
      </c>
      <c r="L41" s="170">
        <v>14</v>
      </c>
    </row>
    <row r="42" spans="3:12" x14ac:dyDescent="0.2">
      <c r="C42" t="str">
        <f t="shared" si="0"/>
        <v>North Dakota-Minot</v>
      </c>
      <c r="D42" s="97" t="s">
        <v>136</v>
      </c>
      <c r="E42" s="119">
        <f>3*30</f>
        <v>90</v>
      </c>
      <c r="F42" s="27">
        <f>3*30</f>
        <v>90</v>
      </c>
      <c r="G42" s="25">
        <f>3*30</f>
        <v>90</v>
      </c>
      <c r="H42" s="25">
        <f>5*30</f>
        <v>150</v>
      </c>
      <c r="I42" s="24">
        <v>48.3</v>
      </c>
      <c r="J42" s="24">
        <f t="shared" si="1"/>
        <v>63.3</v>
      </c>
      <c r="K42" s="24">
        <f t="shared" ref="K42:K58" si="3">ROUND(2*J42,-1)/2</f>
        <v>65</v>
      </c>
      <c r="L42" s="170">
        <v>-6</v>
      </c>
    </row>
    <row r="43" spans="3:12" x14ac:dyDescent="0.2">
      <c r="C43" t="str">
        <f t="shared" si="0"/>
        <v>Oklahoma-OK city</v>
      </c>
      <c r="D43" s="97" t="s">
        <v>137</v>
      </c>
      <c r="E43" s="119">
        <f>4*30</f>
        <v>120</v>
      </c>
      <c r="F43" s="119">
        <f>4.4*30</f>
        <v>132</v>
      </c>
      <c r="G43" s="25">
        <f>2.3*30</f>
        <v>69</v>
      </c>
      <c r="H43" s="25">
        <f>5.2*30</f>
        <v>156</v>
      </c>
      <c r="I43" s="24">
        <v>35.4</v>
      </c>
      <c r="J43" s="24">
        <f t="shared" si="1"/>
        <v>50.4</v>
      </c>
      <c r="K43" s="24">
        <f t="shared" si="3"/>
        <v>50</v>
      </c>
      <c r="L43" s="170">
        <v>9</v>
      </c>
    </row>
    <row r="44" spans="3:12" x14ac:dyDescent="0.2">
      <c r="C44" t="str">
        <f t="shared" si="0"/>
        <v>Pennsylvania-Williamsport</v>
      </c>
      <c r="D44" s="97" t="s">
        <v>138</v>
      </c>
      <c r="E44" s="27">
        <f>2.2*30</f>
        <v>66</v>
      </c>
      <c r="F44" s="27">
        <f>2.4*30</f>
        <v>72</v>
      </c>
      <c r="G44" s="25">
        <f>2.5*30</f>
        <v>75</v>
      </c>
      <c r="H44" s="25">
        <f>4.7*30</f>
        <v>141</v>
      </c>
      <c r="I44" s="24">
        <v>41.3</v>
      </c>
      <c r="J44" s="24">
        <f t="shared" si="1"/>
        <v>56.3</v>
      </c>
      <c r="K44" s="24">
        <f t="shared" si="3"/>
        <v>55</v>
      </c>
      <c r="L44" s="170">
        <v>1</v>
      </c>
    </row>
    <row r="45" spans="3:12" x14ac:dyDescent="0.2">
      <c r="C45" t="str">
        <f t="shared" si="0"/>
        <v>Texas-Amarillo</v>
      </c>
      <c r="D45" s="97" t="s">
        <v>139</v>
      </c>
      <c r="E45" s="27">
        <v>120</v>
      </c>
      <c r="F45" s="27">
        <f>5*30</f>
        <v>150</v>
      </c>
      <c r="G45" s="25">
        <f>2.2*30</f>
        <v>66</v>
      </c>
      <c r="H45" s="25">
        <f>5.5*30</f>
        <v>165</v>
      </c>
      <c r="I45" s="24">
        <v>35.200000000000003</v>
      </c>
      <c r="J45" s="24">
        <f t="shared" si="1"/>
        <v>50.2</v>
      </c>
      <c r="K45" s="24">
        <f t="shared" si="3"/>
        <v>50</v>
      </c>
      <c r="L45" s="170">
        <v>10</v>
      </c>
    </row>
    <row r="46" spans="3:12" x14ac:dyDescent="0.2">
      <c r="C46" t="str">
        <f t="shared" si="0"/>
        <v>Texas-Corpus Christi</v>
      </c>
      <c r="D46" s="97" t="s">
        <v>140</v>
      </c>
      <c r="E46" s="27">
        <f>3.2*30</f>
        <v>96</v>
      </c>
      <c r="F46" s="27">
        <f>3.8*30</f>
        <v>114</v>
      </c>
      <c r="G46" s="25">
        <f>1.7*30</f>
        <v>51</v>
      </c>
      <c r="H46" s="25">
        <f>4.8*30</f>
        <v>144</v>
      </c>
      <c r="I46" s="24">
        <v>27</v>
      </c>
      <c r="J46" s="24">
        <f t="shared" si="1"/>
        <v>42</v>
      </c>
      <c r="K46" s="24">
        <f t="shared" si="3"/>
        <v>40</v>
      </c>
      <c r="L46" s="170">
        <v>19</v>
      </c>
    </row>
    <row r="47" spans="3:12" x14ac:dyDescent="0.2">
      <c r="C47" t="str">
        <f t="shared" si="0"/>
        <v>Texas--ElPaso</v>
      </c>
      <c r="D47" s="97" t="s">
        <v>141</v>
      </c>
      <c r="E47" s="27">
        <v>110</v>
      </c>
      <c r="F47" s="27">
        <f>5.6*30</f>
        <v>168</v>
      </c>
      <c r="G47" s="25">
        <f>2.1*30</f>
        <v>63</v>
      </c>
      <c r="H47" s="25">
        <f>6*30</f>
        <v>180</v>
      </c>
      <c r="I47" s="24">
        <v>31.8</v>
      </c>
      <c r="J47" s="24">
        <f t="shared" si="1"/>
        <v>46.8</v>
      </c>
      <c r="K47" s="24">
        <f t="shared" si="3"/>
        <v>45</v>
      </c>
      <c r="L47" s="170">
        <v>14</v>
      </c>
    </row>
    <row r="48" spans="3:12" x14ac:dyDescent="0.2">
      <c r="C48" t="str">
        <f t="shared" si="0"/>
        <v>Texas--Ft.Worth</v>
      </c>
      <c r="D48" s="97" t="s">
        <v>142</v>
      </c>
      <c r="E48" s="27">
        <f>2.7*30</f>
        <v>81</v>
      </c>
      <c r="F48" s="27">
        <f>4.4*30</f>
        <v>132</v>
      </c>
      <c r="G48" s="25">
        <f>2.1*30</f>
        <v>63</v>
      </c>
      <c r="H48" s="25">
        <f>5.3*30</f>
        <v>159</v>
      </c>
      <c r="I48" s="24">
        <v>32.799999999999997</v>
      </c>
      <c r="J48" s="24">
        <f t="shared" si="1"/>
        <v>47.8</v>
      </c>
      <c r="K48" s="24">
        <f t="shared" si="3"/>
        <v>50</v>
      </c>
      <c r="L48" s="170">
        <v>14</v>
      </c>
    </row>
    <row r="49" spans="3:12" x14ac:dyDescent="0.2">
      <c r="C49" t="str">
        <f t="shared" si="0"/>
        <v>Texas-Midland</v>
      </c>
      <c r="D49" s="97" t="s">
        <v>98</v>
      </c>
      <c r="E49" s="27">
        <f>3*30</f>
        <v>90</v>
      </c>
      <c r="F49" s="27">
        <f>5.2*30</f>
        <v>156</v>
      </c>
      <c r="G49" s="25">
        <f>2.1*30</f>
        <v>63</v>
      </c>
      <c r="H49" s="25">
        <f>5.3*30</f>
        <v>159</v>
      </c>
      <c r="I49" s="24">
        <v>31.9</v>
      </c>
      <c r="J49" s="24">
        <f t="shared" si="1"/>
        <v>46.9</v>
      </c>
      <c r="K49" s="24">
        <f t="shared" si="3"/>
        <v>45</v>
      </c>
      <c r="L49" s="170">
        <v>14</v>
      </c>
    </row>
    <row r="50" spans="3:12" x14ac:dyDescent="0.2">
      <c r="C50" t="str">
        <f t="shared" si="0"/>
        <v>Texas-San Antonio</v>
      </c>
      <c r="D50" s="97" t="s">
        <v>143</v>
      </c>
      <c r="E50" s="27">
        <f>30*3.8</f>
        <v>114</v>
      </c>
      <c r="F50" s="27">
        <f>4.4*30</f>
        <v>132</v>
      </c>
      <c r="G50" s="25">
        <f>1.9*30</f>
        <v>57</v>
      </c>
      <c r="H50" s="25">
        <f>5.2*30</f>
        <v>156</v>
      </c>
      <c r="I50" s="24">
        <v>29.5</v>
      </c>
      <c r="J50" s="24">
        <f t="shared" si="1"/>
        <v>44.5</v>
      </c>
      <c r="K50" s="24">
        <f t="shared" si="3"/>
        <v>45</v>
      </c>
      <c r="L50" s="170">
        <v>17</v>
      </c>
    </row>
    <row r="51" spans="3:12" x14ac:dyDescent="0.2">
      <c r="C51" t="str">
        <f t="shared" si="0"/>
        <v>Texas--Tyler</v>
      </c>
      <c r="D51" s="97" t="s">
        <v>144</v>
      </c>
      <c r="E51" s="27">
        <v>100</v>
      </c>
      <c r="F51" s="27">
        <f>4.4*30</f>
        <v>132</v>
      </c>
      <c r="G51" s="25">
        <f>2.1*30</f>
        <v>63</v>
      </c>
      <c r="H51" s="25">
        <f>5.3*30</f>
        <v>159</v>
      </c>
      <c r="I51" s="24">
        <v>32.35</v>
      </c>
      <c r="J51" s="24">
        <f t="shared" si="1"/>
        <v>47.35</v>
      </c>
      <c r="K51" s="24">
        <f t="shared" si="3"/>
        <v>45</v>
      </c>
      <c r="L51" s="170">
        <v>14</v>
      </c>
    </row>
    <row r="52" spans="3:12" x14ac:dyDescent="0.2">
      <c r="C52" t="str">
        <f t="shared" si="0"/>
        <v>Wyoming-Rock Springs</v>
      </c>
      <c r="D52" s="97" t="s">
        <v>145</v>
      </c>
      <c r="E52" s="27">
        <f>3.9*30</f>
        <v>117</v>
      </c>
      <c r="F52" s="27">
        <f>4.1*30</f>
        <v>122.99999999999999</v>
      </c>
      <c r="G52" s="25">
        <f>2.8*30</f>
        <v>84</v>
      </c>
      <c r="H52" s="25">
        <f>5.5*30</f>
        <v>165</v>
      </c>
      <c r="I52" s="24">
        <v>41.6</v>
      </c>
      <c r="J52" s="24">
        <f t="shared" si="1"/>
        <v>56.6</v>
      </c>
      <c r="K52" s="24">
        <f t="shared" si="3"/>
        <v>55</v>
      </c>
      <c r="L52" s="170">
        <v>-1</v>
      </c>
    </row>
    <row r="53" spans="3:12" x14ac:dyDescent="0.2">
      <c r="C53" t="s">
        <v>146</v>
      </c>
      <c r="D53" s="24" t="s">
        <v>146</v>
      </c>
      <c r="E53" s="27">
        <f>2.83*30</f>
        <v>84.9</v>
      </c>
      <c r="F53" s="27">
        <f>3.45*30</f>
        <v>103.5</v>
      </c>
      <c r="G53" s="25"/>
      <c r="H53" s="25"/>
      <c r="I53" s="24">
        <v>38.9</v>
      </c>
      <c r="J53" s="28">
        <f t="shared" si="1"/>
        <v>53.9</v>
      </c>
      <c r="K53" s="24">
        <f t="shared" si="3"/>
        <v>55</v>
      </c>
      <c r="L53" s="170">
        <v>12</v>
      </c>
    </row>
    <row r="54" spans="3:12" x14ac:dyDescent="0.2">
      <c r="C54" t="s">
        <v>147</v>
      </c>
      <c r="D54" s="24" t="s">
        <v>147</v>
      </c>
      <c r="E54" s="27">
        <f>1.6*30</f>
        <v>48</v>
      </c>
      <c r="F54" s="27">
        <f>2.3*30</f>
        <v>69</v>
      </c>
      <c r="G54" s="25"/>
      <c r="H54" s="25"/>
      <c r="I54" s="24">
        <v>45.8</v>
      </c>
      <c r="J54" s="28">
        <f t="shared" si="1"/>
        <v>60.8</v>
      </c>
      <c r="K54" s="24">
        <f t="shared" si="3"/>
        <v>60</v>
      </c>
      <c r="L54" s="170">
        <v>10</v>
      </c>
    </row>
    <row r="55" spans="3:12" x14ac:dyDescent="0.2">
      <c r="C55" t="s">
        <v>148</v>
      </c>
      <c r="D55" s="24" t="s">
        <v>148</v>
      </c>
      <c r="E55" s="27">
        <f>1.1*30</f>
        <v>33</v>
      </c>
      <c r="F55" s="27">
        <f>1.2*30</f>
        <v>36</v>
      </c>
      <c r="G55" s="25"/>
      <c r="H55" s="25"/>
      <c r="I55" s="24">
        <v>51.6</v>
      </c>
      <c r="J55" s="28">
        <f t="shared" si="1"/>
        <v>66.599999999999994</v>
      </c>
      <c r="K55" s="24">
        <f t="shared" si="3"/>
        <v>65</v>
      </c>
      <c r="L55" s="170">
        <v>4</v>
      </c>
    </row>
    <row r="56" spans="3:12" x14ac:dyDescent="0.2">
      <c r="C56" t="s">
        <v>149</v>
      </c>
      <c r="D56" s="97" t="s">
        <v>149</v>
      </c>
      <c r="E56" s="27">
        <f>3.92*30</f>
        <v>117.6</v>
      </c>
      <c r="F56" s="27">
        <f>4.57*30</f>
        <v>137.10000000000002</v>
      </c>
      <c r="G56" s="25">
        <f>1.98*30</f>
        <v>59.4</v>
      </c>
      <c r="H56" s="25">
        <f>5.86*30</f>
        <v>175.8</v>
      </c>
      <c r="I56" s="24">
        <v>29.3</v>
      </c>
      <c r="J56" s="28">
        <f t="shared" si="1"/>
        <v>44.3</v>
      </c>
      <c r="K56" s="24">
        <f t="shared" si="3"/>
        <v>45</v>
      </c>
      <c r="L56" s="170">
        <v>19</v>
      </c>
    </row>
    <row r="57" spans="3:12" x14ac:dyDescent="0.2">
      <c r="C57" t="s">
        <v>150</v>
      </c>
      <c r="D57" s="97" t="s">
        <v>151</v>
      </c>
      <c r="E57" s="27">
        <f>2.13*30</f>
        <v>63.9</v>
      </c>
      <c r="F57" s="27">
        <f>5.04*30</f>
        <v>151.19999999999999</v>
      </c>
      <c r="G57" s="25">
        <f>1.75*30</f>
        <v>52.5</v>
      </c>
      <c r="H57" s="25">
        <f>4.96*30</f>
        <v>148.80000000000001</v>
      </c>
      <c r="I57" s="24">
        <v>4.4000000000000004</v>
      </c>
      <c r="J57" s="28">
        <f t="shared" si="1"/>
        <v>19.399999999999999</v>
      </c>
      <c r="K57" s="24">
        <f t="shared" si="3"/>
        <v>20</v>
      </c>
      <c r="L57" s="170">
        <v>30</v>
      </c>
    </row>
    <row r="58" spans="3:12" x14ac:dyDescent="0.2">
      <c r="C58" s="91" t="s">
        <v>152</v>
      </c>
      <c r="D58" s="97" t="s">
        <v>152</v>
      </c>
      <c r="E58" s="27">
        <v>153</v>
      </c>
      <c r="F58" s="27">
        <v>168</v>
      </c>
      <c r="G58" s="25">
        <v>63</v>
      </c>
      <c r="H58" s="25">
        <v>180</v>
      </c>
      <c r="I58" s="24">
        <v>31.8</v>
      </c>
      <c r="J58" s="28">
        <v>46.8</v>
      </c>
      <c r="K58" s="24">
        <f t="shared" si="3"/>
        <v>45</v>
      </c>
      <c r="L58" s="170">
        <v>26</v>
      </c>
    </row>
  </sheetData>
  <mergeCells count="2">
    <mergeCell ref="E8:F8"/>
    <mergeCell ref="G8:H8"/>
  </mergeCells>
  <hyperlinks>
    <hyperlink ref="D6" r:id="rId1" xr:uid="{00000000-0004-0000-0000-000000000000}"/>
    <hyperlink ref="F5" r:id="rId2" xr:uid="{00000000-0004-0000-0000-000001000000}"/>
    <hyperlink ref="O12" r:id="rId3" xr:uid="{00000000-0004-0000-0000-000002000000}"/>
    <hyperlink ref="O14" r:id="rId4" xr:uid="{00000000-0004-0000-0000-000003000000}"/>
    <hyperlink ref="O18" r:id="rId5" xr:uid="{AFDE918F-747F-4571-B485-BBD948D64387}"/>
    <hyperlink ref="O15" r:id="rId6" xr:uid="{AE856C77-3B31-4E27-8038-17D0D7DF0A42}"/>
    <hyperlink ref="R13" r:id="rId7" xr:uid="{C45B3587-EDF1-4AC2-8241-7F49BFED5D2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01C9A-B5BB-486E-B14A-7B7DAFFF76BE}">
  <sheetPr>
    <tabColor rgb="FFFF0000"/>
    <pageSetUpPr fitToPage="1"/>
  </sheetPr>
  <dimension ref="A1:AA97"/>
  <sheetViews>
    <sheetView topLeftCell="E4" workbookViewId="0">
      <selection activeCell="G68" sqref="G68"/>
    </sheetView>
  </sheetViews>
  <sheetFormatPr defaultColWidth="9.140625" defaultRowHeight="15" x14ac:dyDescent="0.25"/>
  <cols>
    <col min="1" max="1" width="14.7109375" style="40" customWidth="1"/>
    <col min="2" max="2" width="11.28515625" style="77" customWidth="1"/>
    <col min="3" max="3" width="12.42578125" style="40" customWidth="1"/>
    <col min="4" max="4" width="19.140625" style="40" customWidth="1"/>
    <col min="5" max="5" width="13.7109375" style="40" customWidth="1"/>
    <col min="6" max="6" width="14.85546875" style="40" customWidth="1"/>
    <col min="7" max="7" width="13.140625" style="40" customWidth="1"/>
    <col min="8" max="8" width="9.140625" style="40"/>
    <col min="9" max="9" width="12.140625" style="40" customWidth="1"/>
    <col min="10" max="10" width="10.5703125" style="40" customWidth="1"/>
    <col min="11" max="11" width="12" style="40" customWidth="1"/>
    <col min="12" max="12" width="9.140625" style="40" customWidth="1"/>
    <col min="13" max="13" width="9.140625" style="44"/>
    <col min="14" max="16384" width="9.140625" style="40"/>
  </cols>
  <sheetData>
    <row r="1" spans="1:27" x14ac:dyDescent="0.25">
      <c r="B1" s="41" t="s">
        <v>195</v>
      </c>
      <c r="C1" s="42">
        <v>44371</v>
      </c>
      <c r="D1" s="213" t="s">
        <v>344</v>
      </c>
      <c r="E1" s="248" t="s">
        <v>371</v>
      </c>
      <c r="F1" s="43"/>
      <c r="M1" s="125"/>
    </row>
    <row r="2" spans="1:27" ht="21" x14ac:dyDescent="0.35">
      <c r="A2" s="45" t="s">
        <v>343</v>
      </c>
      <c r="B2" s="46"/>
      <c r="C2" s="45"/>
      <c r="D2" s="45"/>
      <c r="E2" s="45"/>
      <c r="F2" s="45"/>
      <c r="G2" s="45"/>
      <c r="H2" s="45"/>
      <c r="I2" s="45"/>
      <c r="J2" s="45"/>
      <c r="K2" s="45"/>
      <c r="L2" s="45"/>
      <c r="M2" s="40"/>
      <c r="P2" s="47" t="s">
        <v>198</v>
      </c>
      <c r="Q2" s="49" t="s">
        <v>199</v>
      </c>
    </row>
    <row r="3" spans="1:27" x14ac:dyDescent="0.25">
      <c r="A3" s="47" t="s">
        <v>200</v>
      </c>
      <c r="B3" s="199"/>
      <c r="C3" s="47" t="s">
        <v>246</v>
      </c>
      <c r="D3" s="47"/>
      <c r="E3" s="47"/>
      <c r="F3" s="47"/>
      <c r="G3" s="48"/>
      <c r="H3" s="43"/>
      <c r="I3" s="49"/>
      <c r="K3" s="49"/>
      <c r="L3" s="49"/>
      <c r="M3" s="40"/>
      <c r="P3" s="47">
        <f>1000*0.1</f>
        <v>100</v>
      </c>
      <c r="Q3" s="47">
        <v>0</v>
      </c>
    </row>
    <row r="4" spans="1:27" x14ac:dyDescent="0.25">
      <c r="A4" s="199" t="s">
        <v>204</v>
      </c>
      <c r="B4" s="199"/>
      <c r="C4" s="199">
        <v>0.375</v>
      </c>
      <c r="D4" s="199"/>
      <c r="E4" s="199"/>
      <c r="F4" s="199"/>
      <c r="G4" s="51" t="s">
        <v>205</v>
      </c>
      <c r="H4" s="222" t="s">
        <v>355</v>
      </c>
      <c r="I4" s="223"/>
      <c r="J4" s="224" t="s">
        <v>18</v>
      </c>
      <c r="K4" s="225"/>
      <c r="L4" s="224"/>
      <c r="M4" s="226"/>
      <c r="N4" s="223"/>
      <c r="O4" s="47"/>
      <c r="P4" s="47">
        <f>1000*0.2</f>
        <v>200</v>
      </c>
      <c r="Q4" s="47">
        <v>100</v>
      </c>
      <c r="S4" s="154" t="s">
        <v>255</v>
      </c>
    </row>
    <row r="5" spans="1:27" x14ac:dyDescent="0.25">
      <c r="A5" s="199" t="s">
        <v>206</v>
      </c>
      <c r="B5" s="199"/>
      <c r="C5" s="199">
        <v>25.6</v>
      </c>
      <c r="D5" s="199"/>
      <c r="E5" s="199"/>
      <c r="F5" s="199"/>
      <c r="G5" s="52" t="s">
        <v>207</v>
      </c>
      <c r="H5" s="227">
        <v>73.5</v>
      </c>
      <c r="I5" s="225"/>
      <c r="J5" s="223">
        <f>H5/1000*25</f>
        <v>1.8374999999999999</v>
      </c>
      <c r="K5" s="228" t="s">
        <v>357</v>
      </c>
      <c r="L5" s="223"/>
      <c r="M5" s="226"/>
      <c r="N5" s="223"/>
      <c r="O5" s="47"/>
      <c r="P5" s="47">
        <f>1000*0.4</f>
        <v>400</v>
      </c>
      <c r="Q5" s="47">
        <v>500</v>
      </c>
      <c r="S5" s="40">
        <v>300</v>
      </c>
    </row>
    <row r="6" spans="1:27" x14ac:dyDescent="0.25">
      <c r="A6" s="199" t="s">
        <v>208</v>
      </c>
      <c r="B6" s="199"/>
      <c r="C6" s="199">
        <f>0.15-0.014</f>
        <v>0.13599999999999998</v>
      </c>
      <c r="D6" s="199"/>
      <c r="E6" s="199"/>
      <c r="F6" s="199"/>
      <c r="G6" s="51" t="s">
        <v>209</v>
      </c>
      <c r="H6" s="227">
        <v>64.3</v>
      </c>
      <c r="I6" s="225"/>
      <c r="J6" s="223">
        <f>H6/1000*25</f>
        <v>1.6074999999999999</v>
      </c>
      <c r="K6" s="228" t="s">
        <v>357</v>
      </c>
      <c r="L6" s="223"/>
      <c r="M6" s="226"/>
      <c r="N6" s="223"/>
      <c r="O6" s="47"/>
      <c r="P6" s="47">
        <f>1000*0.6</f>
        <v>600</v>
      </c>
      <c r="Q6" s="47">
        <v>1000</v>
      </c>
    </row>
    <row r="7" spans="1:27" x14ac:dyDescent="0.25">
      <c r="A7" s="53" t="s">
        <v>210</v>
      </c>
      <c r="B7" s="199"/>
      <c r="C7" s="199" t="s">
        <v>345</v>
      </c>
      <c r="D7" s="199"/>
      <c r="E7" s="199"/>
      <c r="F7" s="199"/>
      <c r="H7" s="223"/>
      <c r="I7" s="223" t="s">
        <v>212</v>
      </c>
      <c r="J7" s="224">
        <f>J5-J6</f>
        <v>0.22999999999999998</v>
      </c>
      <c r="K7" s="224" t="s">
        <v>18</v>
      </c>
      <c r="L7" s="228" t="s">
        <v>356</v>
      </c>
      <c r="M7" s="226"/>
      <c r="N7" s="223"/>
      <c r="O7" s="47"/>
      <c r="P7" s="47">
        <f>1000*0.8</f>
        <v>800</v>
      </c>
      <c r="Q7" s="47">
        <v>2000</v>
      </c>
    </row>
    <row r="8" spans="1:27" ht="15.75" thickBot="1" x14ac:dyDescent="0.3">
      <c r="A8" s="53" t="s">
        <v>213</v>
      </c>
      <c r="B8" s="199"/>
      <c r="C8" s="148" t="s">
        <v>346</v>
      </c>
      <c r="D8" s="53"/>
      <c r="E8" s="53"/>
      <c r="F8" s="53"/>
      <c r="G8" s="40" t="s">
        <v>215</v>
      </c>
      <c r="J8" s="50"/>
      <c r="K8" s="50"/>
      <c r="L8" s="50"/>
      <c r="M8" s="151"/>
      <c r="O8" s="54"/>
      <c r="P8" s="54">
        <v>1000</v>
      </c>
      <c r="Q8" s="71">
        <v>3000</v>
      </c>
    </row>
    <row r="9" spans="1:27" x14ac:dyDescent="0.25">
      <c r="A9" s="47" t="s">
        <v>176</v>
      </c>
      <c r="C9" s="285" t="s">
        <v>216</v>
      </c>
      <c r="D9" s="286"/>
      <c r="E9" s="287"/>
      <c r="F9" s="288" t="s">
        <v>217</v>
      </c>
      <c r="G9" s="288"/>
      <c r="H9" s="288"/>
      <c r="I9" s="55" t="s">
        <v>256</v>
      </c>
      <c r="J9" s="56" t="s">
        <v>218</v>
      </c>
      <c r="K9" s="57" t="s">
        <v>219</v>
      </c>
      <c r="L9" s="289"/>
      <c r="M9" s="290"/>
      <c r="N9" s="290"/>
      <c r="O9" s="58"/>
      <c r="P9" s="156" t="s">
        <v>257</v>
      </c>
      <c r="Z9" s="40">
        <v>10</v>
      </c>
      <c r="AA9" s="40">
        <f t="shared" ref="AA9:AA14" si="0">Z9/400*600</f>
        <v>15</v>
      </c>
    </row>
    <row r="10" spans="1:27" ht="15.75" thickBot="1" x14ac:dyDescent="0.3">
      <c r="A10" s="199" t="s">
        <v>220</v>
      </c>
      <c r="B10" s="199" t="s">
        <v>17</v>
      </c>
      <c r="C10" s="53" t="s">
        <v>202</v>
      </c>
      <c r="D10" s="50" t="s">
        <v>221</v>
      </c>
      <c r="E10" s="61" t="s">
        <v>18</v>
      </c>
      <c r="F10" s="62" t="s">
        <v>222</v>
      </c>
      <c r="G10" s="53" t="s">
        <v>223</v>
      </c>
      <c r="H10" s="53" t="s">
        <v>224</v>
      </c>
      <c r="I10" s="64" t="s">
        <v>225</v>
      </c>
      <c r="J10" s="60" t="s">
        <v>18</v>
      </c>
      <c r="K10" s="63" t="s">
        <v>226</v>
      </c>
      <c r="L10" s="63"/>
      <c r="M10" s="65" t="s">
        <v>227</v>
      </c>
      <c r="N10" s="66"/>
      <c r="O10" s="153" t="s">
        <v>254</v>
      </c>
      <c r="P10" s="68" t="s">
        <v>258</v>
      </c>
      <c r="Q10" s="69"/>
      <c r="R10" s="70"/>
      <c r="S10" s="70"/>
      <c r="Z10" s="40">
        <v>50</v>
      </c>
      <c r="AA10" s="40">
        <f t="shared" si="0"/>
        <v>75</v>
      </c>
    </row>
    <row r="11" spans="1:27" x14ac:dyDescent="0.25">
      <c r="A11" s="74">
        <f>Q3</f>
        <v>0</v>
      </c>
      <c r="B11" s="199">
        <f>P$3</f>
        <v>100</v>
      </c>
      <c r="C11" s="43">
        <v>509</v>
      </c>
      <c r="D11" s="43">
        <v>180</v>
      </c>
      <c r="E11" s="221">
        <f>C11/1000*3600/D11</f>
        <v>10.18</v>
      </c>
      <c r="F11" s="100">
        <f>E11-$J$7</f>
        <v>9.9499999999999993</v>
      </c>
      <c r="G11" s="24">
        <v>60</v>
      </c>
      <c r="H11" s="24">
        <v>32</v>
      </c>
      <c r="I11" s="72">
        <f t="shared" ref="I11:I16" si="1">60*H11/G11</f>
        <v>32</v>
      </c>
      <c r="J11" s="101">
        <f t="shared" ref="J11:J16" si="2">I11/100*A11/100*0.8</f>
        <v>0</v>
      </c>
      <c r="K11" s="136">
        <f t="shared" ref="K11:K15" si="3">J11/E11</f>
        <v>0</v>
      </c>
      <c r="L11" s="41"/>
      <c r="M11" s="137"/>
      <c r="N11" s="73"/>
      <c r="O11" s="155">
        <v>1</v>
      </c>
      <c r="P11" s="43">
        <f>I11*O11</f>
        <v>32</v>
      </c>
      <c r="Q11" s="69"/>
      <c r="R11" s="70"/>
      <c r="S11" s="70"/>
    </row>
    <row r="12" spans="1:27" x14ac:dyDescent="0.25">
      <c r="A12" s="74">
        <f t="shared" ref="A12:A16" si="4">Q4</f>
        <v>100</v>
      </c>
      <c r="B12" s="199">
        <f t="shared" ref="B12:B16" si="5">P$3</f>
        <v>100</v>
      </c>
      <c r="C12" s="43">
        <v>536</v>
      </c>
      <c r="D12" s="43">
        <v>180</v>
      </c>
      <c r="E12" s="221">
        <f t="shared" ref="E12:E16" si="6">C12/1000*3600/D12</f>
        <v>10.72</v>
      </c>
      <c r="F12" s="100">
        <f t="shared" ref="F12:F16" si="7">E12-$J$7</f>
        <v>10.49</v>
      </c>
      <c r="G12" s="24">
        <v>60</v>
      </c>
      <c r="H12" s="24">
        <v>31</v>
      </c>
      <c r="I12" s="72">
        <f t="shared" si="1"/>
        <v>31</v>
      </c>
      <c r="J12" s="101">
        <f t="shared" si="2"/>
        <v>0.248</v>
      </c>
      <c r="K12" s="136">
        <f t="shared" si="3"/>
        <v>2.3134328358208955E-2</v>
      </c>
      <c r="L12" s="41"/>
      <c r="M12" s="137">
        <f>I12/$I$12</f>
        <v>1</v>
      </c>
      <c r="N12" s="73"/>
      <c r="O12" s="155">
        <v>1</v>
      </c>
      <c r="P12" s="43">
        <f t="shared" ref="P12:P16" si="8">I12*O12</f>
        <v>31</v>
      </c>
      <c r="Z12" s="40">
        <v>100</v>
      </c>
      <c r="AA12" s="40">
        <f t="shared" si="0"/>
        <v>150</v>
      </c>
    </row>
    <row r="13" spans="1:27" x14ac:dyDescent="0.25">
      <c r="A13" s="74">
        <f t="shared" si="4"/>
        <v>500</v>
      </c>
      <c r="B13" s="199">
        <f t="shared" si="5"/>
        <v>100</v>
      </c>
      <c r="C13" s="43">
        <v>596</v>
      </c>
      <c r="D13" s="43">
        <v>180</v>
      </c>
      <c r="E13" s="221">
        <f t="shared" si="6"/>
        <v>11.92</v>
      </c>
      <c r="F13" s="100">
        <f t="shared" si="7"/>
        <v>11.69</v>
      </c>
      <c r="G13" s="24">
        <v>60</v>
      </c>
      <c r="H13" s="24">
        <v>29</v>
      </c>
      <c r="I13" s="72">
        <f t="shared" si="1"/>
        <v>29</v>
      </c>
      <c r="J13" s="101">
        <f t="shared" si="2"/>
        <v>1.1599999999999999</v>
      </c>
      <c r="K13" s="136">
        <f t="shared" si="3"/>
        <v>9.7315436241610737E-2</v>
      </c>
      <c r="L13" s="41"/>
      <c r="M13" s="137">
        <f>I13/$I$12</f>
        <v>0.93548387096774188</v>
      </c>
      <c r="N13" s="73"/>
      <c r="O13" s="155">
        <v>1</v>
      </c>
      <c r="P13" s="43">
        <f t="shared" si="8"/>
        <v>29</v>
      </c>
      <c r="Z13" s="40">
        <v>200</v>
      </c>
      <c r="AA13" s="40">
        <f t="shared" si="0"/>
        <v>300</v>
      </c>
    </row>
    <row r="14" spans="1:27" x14ac:dyDescent="0.25">
      <c r="A14" s="74">
        <f t="shared" si="4"/>
        <v>1000</v>
      </c>
      <c r="B14" s="199">
        <f t="shared" si="5"/>
        <v>100</v>
      </c>
      <c r="C14" s="43">
        <v>696</v>
      </c>
      <c r="D14" s="43">
        <v>180</v>
      </c>
      <c r="E14" s="221">
        <f t="shared" si="6"/>
        <v>13.92</v>
      </c>
      <c r="F14" s="100">
        <f t="shared" si="7"/>
        <v>13.69</v>
      </c>
      <c r="G14" s="24">
        <v>60</v>
      </c>
      <c r="H14" s="24">
        <v>28</v>
      </c>
      <c r="I14" s="72">
        <f t="shared" si="1"/>
        <v>28</v>
      </c>
      <c r="J14" s="101">
        <f t="shared" si="2"/>
        <v>2.2399999999999998</v>
      </c>
      <c r="K14" s="136">
        <f t="shared" si="3"/>
        <v>0.16091954022988506</v>
      </c>
      <c r="L14" s="41"/>
      <c r="M14" s="137">
        <f>I14/$I$12</f>
        <v>0.90322580645161288</v>
      </c>
      <c r="N14" s="73"/>
      <c r="O14" s="155">
        <v>1</v>
      </c>
      <c r="P14" s="43">
        <f t="shared" si="8"/>
        <v>28</v>
      </c>
      <c r="Z14" s="40">
        <v>300</v>
      </c>
      <c r="AA14" s="40">
        <f t="shared" si="0"/>
        <v>450</v>
      </c>
    </row>
    <row r="15" spans="1:27" x14ac:dyDescent="0.25">
      <c r="A15" s="74">
        <f t="shared" si="4"/>
        <v>2000</v>
      </c>
      <c r="B15" s="199">
        <f t="shared" si="5"/>
        <v>100</v>
      </c>
      <c r="C15" s="43">
        <v>920</v>
      </c>
      <c r="D15" s="43">
        <v>180</v>
      </c>
      <c r="E15" s="221">
        <f t="shared" si="6"/>
        <v>18.399999999999999</v>
      </c>
      <c r="F15" s="100">
        <f t="shared" si="7"/>
        <v>18.169999999999998</v>
      </c>
      <c r="G15" s="24">
        <v>60</v>
      </c>
      <c r="H15" s="24">
        <v>26</v>
      </c>
      <c r="I15" s="72">
        <f t="shared" si="1"/>
        <v>26</v>
      </c>
      <c r="J15" s="101">
        <f t="shared" si="2"/>
        <v>4.16</v>
      </c>
      <c r="K15" s="136">
        <f t="shared" si="3"/>
        <v>0.22608695652173916</v>
      </c>
      <c r="L15" s="41"/>
      <c r="M15" s="137">
        <f>I15/$I$12</f>
        <v>0.83870967741935487</v>
      </c>
      <c r="N15" s="73"/>
      <c r="O15" s="155">
        <v>1</v>
      </c>
      <c r="P15" s="43">
        <f t="shared" si="8"/>
        <v>26</v>
      </c>
      <c r="Z15" s="40">
        <v>400</v>
      </c>
      <c r="AA15" s="40">
        <f>Z15/400*600</f>
        <v>600</v>
      </c>
    </row>
    <row r="16" spans="1:27" x14ac:dyDescent="0.25">
      <c r="A16" s="74">
        <f t="shared" si="4"/>
        <v>3000</v>
      </c>
      <c r="B16" s="199">
        <f t="shared" si="5"/>
        <v>100</v>
      </c>
      <c r="C16" s="43">
        <v>1025</v>
      </c>
      <c r="D16" s="43">
        <v>180</v>
      </c>
      <c r="E16" s="221">
        <f t="shared" si="6"/>
        <v>20.499999999999996</v>
      </c>
      <c r="F16" s="100">
        <f t="shared" si="7"/>
        <v>20.269999999999996</v>
      </c>
      <c r="G16" s="24">
        <v>60</v>
      </c>
      <c r="H16" s="24">
        <v>24</v>
      </c>
      <c r="I16" s="72">
        <f t="shared" si="1"/>
        <v>24</v>
      </c>
      <c r="J16" s="101">
        <f t="shared" si="2"/>
        <v>5.7600000000000007</v>
      </c>
      <c r="K16" s="136">
        <f>J16/E16</f>
        <v>0.28097560975609764</v>
      </c>
      <c r="L16" s="41"/>
      <c r="M16" s="137">
        <f>I16/$I$12</f>
        <v>0.77419354838709675</v>
      </c>
      <c r="N16" s="73"/>
      <c r="O16" s="155">
        <v>1</v>
      </c>
      <c r="P16" s="43">
        <f t="shared" si="8"/>
        <v>24</v>
      </c>
    </row>
    <row r="17" spans="1:27" x14ac:dyDescent="0.25">
      <c r="A17" s="74"/>
      <c r="B17" s="74"/>
      <c r="C17" s="43"/>
      <c r="D17" s="43"/>
      <c r="E17" s="133"/>
      <c r="F17" s="100"/>
      <c r="G17" s="24"/>
      <c r="H17" s="24"/>
      <c r="I17" s="72"/>
      <c r="J17" s="101"/>
      <c r="K17" s="41"/>
      <c r="L17" s="41"/>
      <c r="M17" s="137"/>
      <c r="N17" s="73"/>
      <c r="O17" s="155"/>
      <c r="P17" s="43"/>
    </row>
    <row r="18" spans="1:27" x14ac:dyDescent="0.25">
      <c r="A18" s="74">
        <f>Q3</f>
        <v>0</v>
      </c>
      <c r="B18" s="74">
        <f>P$4</f>
        <v>200</v>
      </c>
      <c r="C18" s="43">
        <v>676</v>
      </c>
      <c r="D18" s="43">
        <v>180</v>
      </c>
      <c r="E18" s="221">
        <f>C18/1000*3600/D18</f>
        <v>13.520000000000001</v>
      </c>
      <c r="F18" s="100">
        <f>E18-$J$7</f>
        <v>13.290000000000001</v>
      </c>
      <c r="G18" s="24">
        <v>60</v>
      </c>
      <c r="H18" s="24">
        <v>64</v>
      </c>
      <c r="I18" s="72">
        <f t="shared" ref="I18:I22" si="9">60*H18/G18</f>
        <v>64</v>
      </c>
      <c r="J18" s="101">
        <f t="shared" ref="J18:J23" si="10">I18/100*A18/100*0.8</f>
        <v>0</v>
      </c>
      <c r="K18" s="136">
        <f t="shared" ref="K18:K22" si="11">J18/E18</f>
        <v>0</v>
      </c>
      <c r="L18" s="41"/>
      <c r="M18" s="137"/>
      <c r="N18" s="73"/>
      <c r="O18" s="155">
        <f>B18/S$5</f>
        <v>0.66666666666666663</v>
      </c>
      <c r="P18" s="43">
        <f>I18*O18</f>
        <v>42.666666666666664</v>
      </c>
      <c r="Q18" s="69"/>
      <c r="R18" s="70"/>
      <c r="S18" s="70"/>
    </row>
    <row r="19" spans="1:27" x14ac:dyDescent="0.25">
      <c r="A19" s="74">
        <f t="shared" ref="A19:A23" si="12">Q4</f>
        <v>100</v>
      </c>
      <c r="B19" s="74">
        <f t="shared" ref="B19:B23" si="13">P$4</f>
        <v>200</v>
      </c>
      <c r="C19" s="43">
        <v>753</v>
      </c>
      <c r="D19" s="43">
        <v>180</v>
      </c>
      <c r="E19" s="221">
        <f t="shared" ref="E19:E23" si="14">C19/1000*3600/D19</f>
        <v>15.06</v>
      </c>
      <c r="F19" s="100">
        <f t="shared" ref="F19:F23" si="15">E19-$J$7</f>
        <v>14.83</v>
      </c>
      <c r="G19" s="24">
        <v>60</v>
      </c>
      <c r="H19" s="24">
        <v>62</v>
      </c>
      <c r="I19" s="72">
        <f t="shared" si="9"/>
        <v>62</v>
      </c>
      <c r="J19" s="101">
        <f t="shared" si="10"/>
        <v>0.496</v>
      </c>
      <c r="K19" s="136">
        <f t="shared" si="11"/>
        <v>3.2934926958831337E-2</v>
      </c>
      <c r="L19" s="41"/>
      <c r="M19" s="137">
        <f t="shared" ref="M19:M23" si="16">I19/$I$19</f>
        <v>1</v>
      </c>
      <c r="N19" s="73"/>
      <c r="O19" s="155">
        <f>B19/S$5</f>
        <v>0.66666666666666663</v>
      </c>
      <c r="P19" s="43">
        <f t="shared" ref="P19:P23" si="17">I19*O19</f>
        <v>41.333333333333329</v>
      </c>
      <c r="Z19" s="40">
        <v>100</v>
      </c>
      <c r="AA19" s="40">
        <f t="shared" ref="AA19:AA21" si="18">Z19/400*600</f>
        <v>150</v>
      </c>
    </row>
    <row r="20" spans="1:27" x14ac:dyDescent="0.25">
      <c r="A20" s="74">
        <f t="shared" si="12"/>
        <v>500</v>
      </c>
      <c r="B20" s="74">
        <f t="shared" si="13"/>
        <v>200</v>
      </c>
      <c r="C20" s="43">
        <v>848</v>
      </c>
      <c r="D20" s="43">
        <v>180</v>
      </c>
      <c r="E20" s="221">
        <f t="shared" si="14"/>
        <v>16.959999999999997</v>
      </c>
      <c r="F20" s="100">
        <f t="shared" si="15"/>
        <v>16.729999999999997</v>
      </c>
      <c r="G20" s="24">
        <v>60</v>
      </c>
      <c r="H20" s="24">
        <v>61</v>
      </c>
      <c r="I20" s="72">
        <f t="shared" si="9"/>
        <v>61</v>
      </c>
      <c r="J20" s="101">
        <f t="shared" si="10"/>
        <v>2.44</v>
      </c>
      <c r="K20" s="136">
        <f t="shared" si="11"/>
        <v>0.14386792452830191</v>
      </c>
      <c r="L20" s="41"/>
      <c r="M20" s="137">
        <f t="shared" si="16"/>
        <v>0.9838709677419355</v>
      </c>
      <c r="N20" s="73"/>
      <c r="O20" s="155">
        <f t="shared" ref="O20:O23" si="19">B20/S$5</f>
        <v>0.66666666666666663</v>
      </c>
      <c r="P20" s="43">
        <f t="shared" si="17"/>
        <v>40.666666666666664</v>
      </c>
      <c r="Z20" s="40">
        <v>200</v>
      </c>
      <c r="AA20" s="40">
        <f t="shared" si="18"/>
        <v>300</v>
      </c>
    </row>
    <row r="21" spans="1:27" x14ac:dyDescent="0.25">
      <c r="A21" s="74">
        <f t="shared" si="12"/>
        <v>1000</v>
      </c>
      <c r="B21" s="74">
        <f t="shared" si="13"/>
        <v>200</v>
      </c>
      <c r="C21" s="43">
        <v>1086</v>
      </c>
      <c r="D21" s="43">
        <v>180</v>
      </c>
      <c r="E21" s="221">
        <f t="shared" si="14"/>
        <v>21.720000000000002</v>
      </c>
      <c r="F21" s="100">
        <f t="shared" si="15"/>
        <v>21.490000000000002</v>
      </c>
      <c r="G21" s="24">
        <v>60</v>
      </c>
      <c r="H21" s="24">
        <v>57</v>
      </c>
      <c r="I21" s="72">
        <f t="shared" si="9"/>
        <v>57</v>
      </c>
      <c r="J21" s="101">
        <f t="shared" si="10"/>
        <v>4.5600000000000005</v>
      </c>
      <c r="K21" s="136">
        <f t="shared" si="11"/>
        <v>0.20994475138121546</v>
      </c>
      <c r="L21" s="41"/>
      <c r="M21" s="137">
        <f t="shared" si="16"/>
        <v>0.91935483870967738</v>
      </c>
      <c r="N21" s="73"/>
      <c r="O21" s="155">
        <f t="shared" si="19"/>
        <v>0.66666666666666663</v>
      </c>
      <c r="P21" s="43">
        <f t="shared" si="17"/>
        <v>38</v>
      </c>
      <c r="Z21" s="40">
        <v>300</v>
      </c>
      <c r="AA21" s="40">
        <f t="shared" si="18"/>
        <v>450</v>
      </c>
    </row>
    <row r="22" spans="1:27" x14ac:dyDescent="0.25">
      <c r="A22" s="74">
        <f t="shared" si="12"/>
        <v>2000</v>
      </c>
      <c r="B22" s="74">
        <f t="shared" si="13"/>
        <v>200</v>
      </c>
      <c r="C22" s="43">
        <v>1561</v>
      </c>
      <c r="D22" s="43">
        <v>180</v>
      </c>
      <c r="E22" s="221">
        <f t="shared" si="14"/>
        <v>31.219999999999995</v>
      </c>
      <c r="F22" s="100">
        <f t="shared" si="15"/>
        <v>30.989999999999995</v>
      </c>
      <c r="G22" s="24">
        <v>60</v>
      </c>
      <c r="H22" s="24">
        <v>53</v>
      </c>
      <c r="I22" s="72">
        <f t="shared" si="9"/>
        <v>53</v>
      </c>
      <c r="J22" s="101">
        <f t="shared" si="10"/>
        <v>8.48</v>
      </c>
      <c r="K22" s="136">
        <f t="shared" si="11"/>
        <v>0.27162075592568874</v>
      </c>
      <c r="L22" s="41"/>
      <c r="M22" s="137">
        <f t="shared" si="16"/>
        <v>0.85483870967741937</v>
      </c>
      <c r="N22" s="73"/>
      <c r="O22" s="155">
        <f t="shared" si="19"/>
        <v>0.66666666666666663</v>
      </c>
      <c r="P22" s="43">
        <f t="shared" si="17"/>
        <v>35.333333333333329</v>
      </c>
      <c r="Z22" s="40">
        <v>400</v>
      </c>
      <c r="AA22" s="40">
        <f>Z22/400*600</f>
        <v>600</v>
      </c>
    </row>
    <row r="23" spans="1:27" x14ac:dyDescent="0.25">
      <c r="A23" s="74">
        <f t="shared" si="12"/>
        <v>3000</v>
      </c>
      <c r="B23" s="74">
        <f t="shared" si="13"/>
        <v>200</v>
      </c>
      <c r="C23" s="43">
        <v>1804</v>
      </c>
      <c r="D23" s="43">
        <v>180</v>
      </c>
      <c r="E23" s="221">
        <f t="shared" si="14"/>
        <v>36.080000000000005</v>
      </c>
      <c r="F23" s="100">
        <f t="shared" si="15"/>
        <v>35.850000000000009</v>
      </c>
      <c r="G23" s="24">
        <v>60</v>
      </c>
      <c r="H23" s="24">
        <v>49</v>
      </c>
      <c r="I23" s="72">
        <f>60*H23/G23</f>
        <v>49</v>
      </c>
      <c r="J23" s="101">
        <f t="shared" si="10"/>
        <v>11.76</v>
      </c>
      <c r="K23" s="136">
        <f>J23/E23</f>
        <v>0.32594235033259417</v>
      </c>
      <c r="L23" s="41"/>
      <c r="M23" s="137">
        <f t="shared" si="16"/>
        <v>0.79032258064516125</v>
      </c>
      <c r="N23" s="73"/>
      <c r="O23" s="155">
        <f t="shared" si="19"/>
        <v>0.66666666666666663</v>
      </c>
      <c r="P23" s="43">
        <f t="shared" si="17"/>
        <v>32.666666666666664</v>
      </c>
    </row>
    <row r="24" spans="1:27" x14ac:dyDescent="0.25">
      <c r="A24" s="199"/>
      <c r="B24" s="199"/>
      <c r="C24" s="43"/>
      <c r="D24" s="43"/>
      <c r="E24" s="133"/>
      <c r="F24" s="100"/>
      <c r="G24" s="24"/>
      <c r="H24" s="24"/>
      <c r="I24" s="72"/>
      <c r="J24" s="101"/>
      <c r="K24" s="41"/>
      <c r="L24" s="41"/>
      <c r="M24" s="137"/>
      <c r="N24" s="73"/>
      <c r="O24" s="43"/>
      <c r="P24" s="43"/>
    </row>
    <row r="25" spans="1:27" x14ac:dyDescent="0.25">
      <c r="A25" s="199">
        <f>Q3</f>
        <v>0</v>
      </c>
      <c r="B25" s="199">
        <f>P$5</f>
        <v>400</v>
      </c>
      <c r="C25" s="43">
        <v>668</v>
      </c>
      <c r="D25" s="43">
        <v>120</v>
      </c>
      <c r="E25" s="221">
        <f>C25/1000*3600/D25</f>
        <v>20.040000000000003</v>
      </c>
      <c r="F25" s="100">
        <f>E25-$J$7</f>
        <v>19.810000000000002</v>
      </c>
      <c r="G25" s="24">
        <v>37</v>
      </c>
      <c r="H25" s="24">
        <v>80</v>
      </c>
      <c r="I25" s="72">
        <f t="shared" ref="I25:I30" si="20">60*H25/G25</f>
        <v>129.72972972972974</v>
      </c>
      <c r="J25" s="101">
        <f t="shared" ref="J25:J30" si="21">I25/100*A25/100*0.8</f>
        <v>0</v>
      </c>
      <c r="K25" s="136">
        <f t="shared" ref="K25:K29" si="22">J25/E25</f>
        <v>0</v>
      </c>
      <c r="L25" s="41"/>
      <c r="M25" s="137"/>
      <c r="N25" s="73"/>
      <c r="O25" s="43"/>
      <c r="P25" s="43"/>
      <c r="Q25" s="69"/>
      <c r="R25" s="70"/>
      <c r="S25" s="70"/>
    </row>
    <row r="26" spans="1:27" x14ac:dyDescent="0.25">
      <c r="A26" s="199">
        <f t="shared" ref="A26:A30" si="23">Q4</f>
        <v>100</v>
      </c>
      <c r="B26" s="199">
        <f t="shared" ref="B26:B30" si="24">P$5</f>
        <v>400</v>
      </c>
      <c r="C26" s="43">
        <v>769</v>
      </c>
      <c r="D26" s="43">
        <v>120</v>
      </c>
      <c r="E26" s="221">
        <f t="shared" ref="E26:E30" si="25">C26/1000*3600/D26</f>
        <v>23.07</v>
      </c>
      <c r="F26" s="100">
        <f t="shared" ref="F26:F30" si="26">E26-$J$7</f>
        <v>22.84</v>
      </c>
      <c r="G26" s="24">
        <v>38</v>
      </c>
      <c r="H26" s="24">
        <v>80</v>
      </c>
      <c r="I26" s="72">
        <f t="shared" si="20"/>
        <v>126.31578947368421</v>
      </c>
      <c r="J26" s="101">
        <f t="shared" si="21"/>
        <v>1.0105263157894737</v>
      </c>
      <c r="K26" s="136">
        <f t="shared" si="22"/>
        <v>4.380261446855109E-2</v>
      </c>
      <c r="L26" s="41"/>
      <c r="M26" s="137">
        <f>I26/$I$26</f>
        <v>1</v>
      </c>
      <c r="N26" s="73"/>
      <c r="O26" s="43"/>
      <c r="P26" s="43"/>
      <c r="Z26" s="40">
        <v>100</v>
      </c>
      <c r="AA26" s="40">
        <f t="shared" ref="AA26:AA28" si="27">Z26/400*600</f>
        <v>150</v>
      </c>
    </row>
    <row r="27" spans="1:27" x14ac:dyDescent="0.25">
      <c r="A27" s="199">
        <f t="shared" si="23"/>
        <v>500</v>
      </c>
      <c r="B27" s="199">
        <f t="shared" si="24"/>
        <v>400</v>
      </c>
      <c r="C27" s="43">
        <v>910</v>
      </c>
      <c r="D27" s="43">
        <v>120</v>
      </c>
      <c r="E27" s="221">
        <f t="shared" si="25"/>
        <v>27.3</v>
      </c>
      <c r="F27" s="100">
        <f t="shared" si="26"/>
        <v>27.07</v>
      </c>
      <c r="G27" s="24">
        <v>40</v>
      </c>
      <c r="H27" s="24">
        <v>80</v>
      </c>
      <c r="I27" s="72">
        <f t="shared" si="20"/>
        <v>120</v>
      </c>
      <c r="J27" s="101">
        <f t="shared" si="21"/>
        <v>4.8000000000000007</v>
      </c>
      <c r="K27" s="136">
        <f t="shared" si="22"/>
        <v>0.17582417582417584</v>
      </c>
      <c r="L27" s="41"/>
      <c r="M27" s="137">
        <f t="shared" ref="M27:M30" si="28">I27/$I$26</f>
        <v>0.95000000000000007</v>
      </c>
      <c r="N27" s="73"/>
      <c r="O27" s="43"/>
      <c r="P27" s="43"/>
      <c r="Z27" s="40">
        <v>200</v>
      </c>
      <c r="AA27" s="40">
        <f t="shared" si="27"/>
        <v>300</v>
      </c>
    </row>
    <row r="28" spans="1:27" x14ac:dyDescent="0.25">
      <c r="A28" s="199">
        <f t="shared" si="23"/>
        <v>1000</v>
      </c>
      <c r="B28" s="199">
        <f t="shared" si="24"/>
        <v>400</v>
      </c>
      <c r="C28" s="43">
        <v>1163</v>
      </c>
      <c r="D28" s="43">
        <v>120</v>
      </c>
      <c r="E28" s="221">
        <f t="shared" si="25"/>
        <v>34.89</v>
      </c>
      <c r="F28" s="100">
        <f t="shared" si="26"/>
        <v>34.660000000000004</v>
      </c>
      <c r="G28" s="24">
        <v>41</v>
      </c>
      <c r="H28" s="24">
        <v>80</v>
      </c>
      <c r="I28" s="72">
        <f t="shared" si="20"/>
        <v>117.07317073170732</v>
      </c>
      <c r="J28" s="101">
        <f t="shared" si="21"/>
        <v>9.3658536585365884</v>
      </c>
      <c r="K28" s="136">
        <f t="shared" si="22"/>
        <v>0.26843948577061016</v>
      </c>
      <c r="L28" s="41"/>
      <c r="M28" s="137">
        <f t="shared" si="28"/>
        <v>0.92682926829268297</v>
      </c>
      <c r="N28" s="73"/>
      <c r="O28" s="43"/>
      <c r="P28" s="43"/>
      <c r="Z28" s="40">
        <v>300</v>
      </c>
      <c r="AA28" s="40">
        <f t="shared" si="27"/>
        <v>450</v>
      </c>
    </row>
    <row r="29" spans="1:27" x14ac:dyDescent="0.25">
      <c r="A29" s="199">
        <f t="shared" si="23"/>
        <v>2000</v>
      </c>
      <c r="B29" s="199">
        <f t="shared" si="24"/>
        <v>400</v>
      </c>
      <c r="C29" s="43">
        <v>1720</v>
      </c>
      <c r="D29" s="43">
        <v>120</v>
      </c>
      <c r="E29" s="221">
        <f t="shared" si="25"/>
        <v>51.6</v>
      </c>
      <c r="F29" s="100">
        <f t="shared" si="26"/>
        <v>51.370000000000005</v>
      </c>
      <c r="G29" s="24">
        <v>45</v>
      </c>
      <c r="H29" s="24">
        <v>80</v>
      </c>
      <c r="I29" s="72">
        <f t="shared" si="20"/>
        <v>106.66666666666667</v>
      </c>
      <c r="J29" s="101">
        <f t="shared" si="21"/>
        <v>17.06666666666667</v>
      </c>
      <c r="K29" s="136">
        <f t="shared" si="22"/>
        <v>0.33074935400516803</v>
      </c>
      <c r="L29" s="41"/>
      <c r="M29" s="137">
        <f t="shared" si="28"/>
        <v>0.84444444444444455</v>
      </c>
      <c r="N29" s="73"/>
      <c r="O29" s="43"/>
      <c r="P29" s="43"/>
      <c r="Z29" s="40">
        <v>400</v>
      </c>
      <c r="AA29" s="40">
        <f>Z29/400*600</f>
        <v>600</v>
      </c>
    </row>
    <row r="30" spans="1:27" x14ac:dyDescent="0.25">
      <c r="A30" s="199">
        <f t="shared" si="23"/>
        <v>3000</v>
      </c>
      <c r="B30" s="199">
        <f t="shared" si="24"/>
        <v>400</v>
      </c>
      <c r="C30" s="43">
        <v>1822</v>
      </c>
      <c r="D30" s="43">
        <v>120</v>
      </c>
      <c r="E30" s="221">
        <f t="shared" si="25"/>
        <v>54.66</v>
      </c>
      <c r="F30" s="100">
        <f t="shared" si="26"/>
        <v>54.43</v>
      </c>
      <c r="G30" s="24">
        <v>49</v>
      </c>
      <c r="H30" s="24">
        <v>80</v>
      </c>
      <c r="I30" s="72">
        <f t="shared" si="20"/>
        <v>97.959183673469383</v>
      </c>
      <c r="J30" s="101">
        <f t="shared" si="21"/>
        <v>23.510204081632651</v>
      </c>
      <c r="K30" s="136">
        <f>J30/E30</f>
        <v>0.43011716212280737</v>
      </c>
      <c r="L30" s="41"/>
      <c r="M30" s="137">
        <f t="shared" si="28"/>
        <v>0.77551020408163263</v>
      </c>
      <c r="N30" s="73"/>
      <c r="O30" s="43"/>
      <c r="P30" s="43"/>
    </row>
    <row r="31" spans="1:27" x14ac:dyDescent="0.25">
      <c r="A31" s="74"/>
      <c r="B31" s="199"/>
      <c r="C31" s="43"/>
      <c r="D31" s="43"/>
      <c r="E31" s="133"/>
      <c r="F31" s="100"/>
      <c r="G31" s="24"/>
      <c r="H31" s="24"/>
      <c r="I31" s="72"/>
      <c r="J31" s="101"/>
      <c r="K31" s="41"/>
      <c r="L31" s="41"/>
      <c r="M31" s="137"/>
      <c r="N31" s="73"/>
      <c r="O31" s="43"/>
      <c r="P31" s="43"/>
    </row>
    <row r="32" spans="1:27" x14ac:dyDescent="0.25">
      <c r="A32" s="199">
        <f>Q3</f>
        <v>0</v>
      </c>
      <c r="B32" s="199">
        <f>P$6</f>
        <v>600</v>
      </c>
      <c r="C32" s="43">
        <v>900</v>
      </c>
      <c r="D32" s="43">
        <v>120</v>
      </c>
      <c r="E32" s="221">
        <f>C32/1000*3600/D32</f>
        <v>27</v>
      </c>
      <c r="F32" s="100">
        <f>E32-$J$7</f>
        <v>26.77</v>
      </c>
      <c r="G32" s="24">
        <v>24.5</v>
      </c>
      <c r="H32" s="24">
        <v>80</v>
      </c>
      <c r="I32" s="72">
        <f t="shared" ref="I32:I37" si="29">60*H32/G32</f>
        <v>195.91836734693877</v>
      </c>
      <c r="J32" s="101">
        <f t="shared" ref="J32:J37" si="30">I32/100*A32/100*0.8</f>
        <v>0</v>
      </c>
      <c r="K32" s="136">
        <f t="shared" ref="K32:K36" si="31">J32/E32</f>
        <v>0</v>
      </c>
      <c r="L32" s="41"/>
      <c r="M32" s="137"/>
      <c r="N32" s="73"/>
      <c r="O32" s="43"/>
      <c r="P32" s="43"/>
      <c r="Q32" s="69"/>
      <c r="R32" s="70"/>
      <c r="S32" s="70"/>
    </row>
    <row r="33" spans="1:27" x14ac:dyDescent="0.25">
      <c r="A33" s="199">
        <f t="shared" ref="A33:A37" si="32">Q4</f>
        <v>100</v>
      </c>
      <c r="B33" s="199">
        <f t="shared" ref="B33:B37" si="33">P$6</f>
        <v>600</v>
      </c>
      <c r="C33" s="43">
        <v>1025</v>
      </c>
      <c r="D33" s="43">
        <v>120</v>
      </c>
      <c r="E33" s="221">
        <f t="shared" ref="E33:E37" si="34">C33/1000*3600/D33</f>
        <v>30.749999999999996</v>
      </c>
      <c r="F33" s="100">
        <f t="shared" ref="F33:F37" si="35">E33-$J$7</f>
        <v>30.519999999999996</v>
      </c>
      <c r="G33" s="24">
        <v>25</v>
      </c>
      <c r="H33" s="24">
        <v>80</v>
      </c>
      <c r="I33" s="72">
        <f t="shared" si="29"/>
        <v>192</v>
      </c>
      <c r="J33" s="101">
        <f t="shared" si="30"/>
        <v>1.536</v>
      </c>
      <c r="K33" s="136">
        <f t="shared" si="31"/>
        <v>4.9951219512195132E-2</v>
      </c>
      <c r="L33" s="41"/>
      <c r="M33" s="137">
        <f>I33/$I$33</f>
        <v>1</v>
      </c>
      <c r="N33" s="73"/>
      <c r="O33" s="43"/>
      <c r="P33" s="43"/>
      <c r="Z33" s="40">
        <v>100</v>
      </c>
      <c r="AA33" s="40">
        <f t="shared" ref="AA33:AA35" si="36">Z33/400*600</f>
        <v>150</v>
      </c>
    </row>
    <row r="34" spans="1:27" x14ac:dyDescent="0.25">
      <c r="A34" s="199">
        <f t="shared" si="32"/>
        <v>500</v>
      </c>
      <c r="B34" s="199">
        <f t="shared" si="33"/>
        <v>600</v>
      </c>
      <c r="C34" s="43">
        <v>1234</v>
      </c>
      <c r="D34" s="43">
        <v>120</v>
      </c>
      <c r="E34" s="221">
        <f t="shared" si="34"/>
        <v>37.019999999999996</v>
      </c>
      <c r="F34" s="100">
        <f t="shared" si="35"/>
        <v>36.79</v>
      </c>
      <c r="G34" s="24">
        <v>26</v>
      </c>
      <c r="H34" s="24">
        <v>80</v>
      </c>
      <c r="I34" s="72">
        <f t="shared" si="29"/>
        <v>184.61538461538461</v>
      </c>
      <c r="J34" s="101">
        <f t="shared" si="30"/>
        <v>7.3846153846153841</v>
      </c>
      <c r="K34" s="136">
        <f t="shared" si="31"/>
        <v>0.19947637451689315</v>
      </c>
      <c r="L34" s="41"/>
      <c r="M34" s="137">
        <f t="shared" ref="M34:M37" si="37">I34/$I$33</f>
        <v>0.96153846153846156</v>
      </c>
      <c r="N34" s="73"/>
      <c r="O34" s="43"/>
      <c r="P34" s="43"/>
      <c r="Z34" s="40">
        <v>200</v>
      </c>
      <c r="AA34" s="40">
        <f t="shared" si="36"/>
        <v>300</v>
      </c>
    </row>
    <row r="35" spans="1:27" x14ac:dyDescent="0.25">
      <c r="A35" s="199">
        <f t="shared" si="32"/>
        <v>1000</v>
      </c>
      <c r="B35" s="199">
        <f t="shared" si="33"/>
        <v>600</v>
      </c>
      <c r="C35" s="43">
        <v>1560</v>
      </c>
      <c r="D35" s="43">
        <v>120</v>
      </c>
      <c r="E35" s="221">
        <f t="shared" si="34"/>
        <v>46.8</v>
      </c>
      <c r="F35" s="100">
        <f t="shared" si="35"/>
        <v>46.57</v>
      </c>
      <c r="G35" s="24">
        <v>27</v>
      </c>
      <c r="H35" s="24">
        <v>80</v>
      </c>
      <c r="I35" s="72">
        <f t="shared" si="29"/>
        <v>177.77777777777777</v>
      </c>
      <c r="J35" s="101">
        <f t="shared" si="30"/>
        <v>14.222222222222221</v>
      </c>
      <c r="K35" s="136">
        <f t="shared" si="31"/>
        <v>0.30389363722697055</v>
      </c>
      <c r="L35" s="41"/>
      <c r="M35" s="137">
        <f t="shared" si="37"/>
        <v>0.92592592592592593</v>
      </c>
      <c r="N35" s="73"/>
      <c r="O35" s="43"/>
      <c r="P35" s="43"/>
      <c r="Z35" s="40">
        <v>300</v>
      </c>
      <c r="AA35" s="40">
        <f t="shared" si="36"/>
        <v>450</v>
      </c>
    </row>
    <row r="36" spans="1:27" x14ac:dyDescent="0.25">
      <c r="A36" s="199">
        <f t="shared" si="32"/>
        <v>2000</v>
      </c>
      <c r="B36" s="199">
        <f t="shared" si="33"/>
        <v>600</v>
      </c>
      <c r="C36" s="43">
        <v>2170</v>
      </c>
      <c r="D36" s="43">
        <v>120</v>
      </c>
      <c r="E36" s="221">
        <f t="shared" si="34"/>
        <v>65.099999999999994</v>
      </c>
      <c r="F36" s="100">
        <f t="shared" si="35"/>
        <v>64.86999999999999</v>
      </c>
      <c r="G36" s="24">
        <v>30</v>
      </c>
      <c r="H36" s="24">
        <v>80</v>
      </c>
      <c r="I36" s="72">
        <f t="shared" si="29"/>
        <v>160</v>
      </c>
      <c r="J36" s="101">
        <f t="shared" si="30"/>
        <v>25.6</v>
      </c>
      <c r="K36" s="136">
        <f t="shared" si="31"/>
        <v>0.39324116743471588</v>
      </c>
      <c r="L36" s="41"/>
      <c r="M36" s="137">
        <f t="shared" si="37"/>
        <v>0.83333333333333337</v>
      </c>
      <c r="N36" s="73"/>
      <c r="O36" s="43"/>
      <c r="P36" s="43"/>
      <c r="Z36" s="40">
        <v>400</v>
      </c>
      <c r="AA36" s="40">
        <f>Z36/400*600</f>
        <v>600</v>
      </c>
    </row>
    <row r="37" spans="1:27" x14ac:dyDescent="0.25">
      <c r="A37" s="199">
        <f t="shared" si="32"/>
        <v>3000</v>
      </c>
      <c r="B37" s="199">
        <f t="shared" si="33"/>
        <v>600</v>
      </c>
      <c r="C37" s="43">
        <v>2461</v>
      </c>
      <c r="D37" s="43">
        <v>120</v>
      </c>
      <c r="E37" s="221">
        <f t="shared" si="34"/>
        <v>73.83</v>
      </c>
      <c r="F37" s="100">
        <f t="shared" si="35"/>
        <v>73.599999999999994</v>
      </c>
      <c r="G37" s="24">
        <v>33</v>
      </c>
      <c r="H37" s="24">
        <v>80</v>
      </c>
      <c r="I37" s="72">
        <f t="shared" si="29"/>
        <v>145.45454545454547</v>
      </c>
      <c r="J37" s="101">
        <f t="shared" si="30"/>
        <v>34.909090909090914</v>
      </c>
      <c r="K37" s="136">
        <f>J37/E37</f>
        <v>0.47283070444386988</v>
      </c>
      <c r="L37" s="41"/>
      <c r="M37" s="137">
        <f t="shared" si="37"/>
        <v>0.75757575757575768</v>
      </c>
      <c r="N37" s="73"/>
      <c r="O37" s="43"/>
      <c r="P37" s="43"/>
    </row>
    <row r="38" spans="1:27" x14ac:dyDescent="0.25">
      <c r="A38" s="199"/>
      <c r="B38" s="199"/>
      <c r="C38" s="43"/>
      <c r="D38" s="43"/>
      <c r="E38" s="133"/>
      <c r="F38" s="100"/>
      <c r="G38" s="24"/>
      <c r="H38" s="24"/>
      <c r="I38" s="72"/>
      <c r="J38" s="101"/>
      <c r="K38" s="41"/>
      <c r="L38" s="41"/>
      <c r="M38" s="137"/>
      <c r="N38" s="73"/>
      <c r="O38" s="43"/>
      <c r="P38" s="43"/>
    </row>
    <row r="39" spans="1:27" x14ac:dyDescent="0.25">
      <c r="A39" s="199">
        <f>Q3</f>
        <v>0</v>
      </c>
      <c r="B39" s="199">
        <f>P$7</f>
        <v>800</v>
      </c>
      <c r="C39" s="43">
        <v>580</v>
      </c>
      <c r="D39" s="43">
        <v>60</v>
      </c>
      <c r="E39" s="221">
        <f>C39/1000*3600/D39</f>
        <v>34.799999999999997</v>
      </c>
      <c r="F39" s="100">
        <f>E39-$J$7</f>
        <v>34.57</v>
      </c>
      <c r="G39" s="24">
        <v>17.75</v>
      </c>
      <c r="H39" s="24">
        <v>80</v>
      </c>
      <c r="I39" s="72">
        <f t="shared" ref="I39:I44" si="38">60*H39/G39</f>
        <v>270.42253521126759</v>
      </c>
      <c r="J39" s="101">
        <f t="shared" ref="J39:J44" si="39">I39/100*A39/100*0.8</f>
        <v>0</v>
      </c>
      <c r="K39" s="136">
        <f t="shared" ref="K39:K43" si="40">J39/E39</f>
        <v>0</v>
      </c>
      <c r="L39" s="41"/>
      <c r="M39" s="137"/>
      <c r="N39" s="73"/>
      <c r="O39" s="43"/>
      <c r="P39" s="43"/>
      <c r="Q39" s="69"/>
      <c r="R39" s="70"/>
      <c r="S39" s="70"/>
    </row>
    <row r="40" spans="1:27" x14ac:dyDescent="0.25">
      <c r="A40" s="199">
        <f t="shared" ref="A40:A44" si="41">Q4</f>
        <v>100</v>
      </c>
      <c r="B40" s="199">
        <f t="shared" ref="B40:B44" si="42">P$7</f>
        <v>800</v>
      </c>
      <c r="C40" s="43">
        <v>628</v>
      </c>
      <c r="D40" s="43">
        <v>60</v>
      </c>
      <c r="E40" s="221">
        <f t="shared" ref="E40:E44" si="43">C40/1000*3600/D40</f>
        <v>37.68</v>
      </c>
      <c r="F40" s="100">
        <f t="shared" ref="F40:F44" si="44">E40-$J$7</f>
        <v>37.450000000000003</v>
      </c>
      <c r="G40" s="24">
        <v>18</v>
      </c>
      <c r="H40" s="24">
        <v>80</v>
      </c>
      <c r="I40" s="72">
        <f t="shared" si="38"/>
        <v>266.66666666666669</v>
      </c>
      <c r="J40" s="101">
        <f t="shared" si="39"/>
        <v>2.1333333333333337</v>
      </c>
      <c r="K40" s="136">
        <f t="shared" si="40"/>
        <v>5.6617126680820959E-2</v>
      </c>
      <c r="L40" s="41"/>
      <c r="M40" s="137">
        <f>I40/$I$40</f>
        <v>1</v>
      </c>
      <c r="N40" s="73"/>
      <c r="O40" s="43"/>
      <c r="P40" s="43"/>
      <c r="Z40" s="40">
        <v>100</v>
      </c>
      <c r="AA40" s="40">
        <f t="shared" ref="AA40:AA42" si="45">Z40/400*600</f>
        <v>150</v>
      </c>
    </row>
    <row r="41" spans="1:27" x14ac:dyDescent="0.25">
      <c r="A41" s="199">
        <f t="shared" si="41"/>
        <v>500</v>
      </c>
      <c r="B41" s="199">
        <f t="shared" si="42"/>
        <v>800</v>
      </c>
      <c r="C41" s="43">
        <v>763</v>
      </c>
      <c r="D41" s="43">
        <v>60</v>
      </c>
      <c r="E41" s="221">
        <f t="shared" si="43"/>
        <v>45.78</v>
      </c>
      <c r="F41" s="100">
        <f t="shared" si="44"/>
        <v>45.550000000000004</v>
      </c>
      <c r="G41" s="24">
        <v>19</v>
      </c>
      <c r="H41" s="24">
        <v>80</v>
      </c>
      <c r="I41" s="72">
        <f t="shared" si="38"/>
        <v>252.63157894736841</v>
      </c>
      <c r="J41" s="101">
        <f t="shared" si="39"/>
        <v>10.105263157894738</v>
      </c>
      <c r="K41" s="136">
        <f t="shared" si="40"/>
        <v>0.22073532454990691</v>
      </c>
      <c r="L41" s="41"/>
      <c r="M41" s="137">
        <f t="shared" ref="M41:M44" si="46">I41/$I$40</f>
        <v>0.94736842105263153</v>
      </c>
      <c r="N41" s="73"/>
      <c r="O41" s="43"/>
      <c r="P41" s="43"/>
      <c r="Z41" s="40">
        <v>200</v>
      </c>
      <c r="AA41" s="40">
        <f t="shared" si="45"/>
        <v>300</v>
      </c>
    </row>
    <row r="42" spans="1:27" x14ac:dyDescent="0.25">
      <c r="A42" s="199">
        <f t="shared" si="41"/>
        <v>1000</v>
      </c>
      <c r="B42" s="199">
        <f t="shared" si="42"/>
        <v>800</v>
      </c>
      <c r="C42" s="43">
        <v>956</v>
      </c>
      <c r="D42" s="43">
        <v>60</v>
      </c>
      <c r="E42" s="221">
        <f t="shared" si="43"/>
        <v>57.36</v>
      </c>
      <c r="F42" s="100">
        <f t="shared" si="44"/>
        <v>57.13</v>
      </c>
      <c r="G42" s="24">
        <v>20</v>
      </c>
      <c r="H42" s="24">
        <v>80</v>
      </c>
      <c r="I42" s="72">
        <f t="shared" si="38"/>
        <v>240</v>
      </c>
      <c r="J42" s="101">
        <f t="shared" si="39"/>
        <v>19.200000000000003</v>
      </c>
      <c r="K42" s="136">
        <f t="shared" si="40"/>
        <v>0.33472803347280339</v>
      </c>
      <c r="L42" s="41"/>
      <c r="M42" s="137">
        <f t="shared" si="46"/>
        <v>0.89999999999999991</v>
      </c>
      <c r="N42" s="73"/>
      <c r="O42" s="43"/>
      <c r="P42" s="43"/>
      <c r="Z42" s="40">
        <v>300</v>
      </c>
      <c r="AA42" s="40">
        <f t="shared" si="45"/>
        <v>450</v>
      </c>
    </row>
    <row r="43" spans="1:27" x14ac:dyDescent="0.25">
      <c r="A43" s="199">
        <f t="shared" si="41"/>
        <v>2000</v>
      </c>
      <c r="B43" s="199">
        <f t="shared" si="42"/>
        <v>800</v>
      </c>
      <c r="C43" s="43">
        <v>1298</v>
      </c>
      <c r="D43" s="43">
        <v>60</v>
      </c>
      <c r="E43" s="221">
        <f t="shared" si="43"/>
        <v>77.88000000000001</v>
      </c>
      <c r="F43" s="100">
        <f t="shared" si="44"/>
        <v>77.650000000000006</v>
      </c>
      <c r="G43" s="24">
        <v>23</v>
      </c>
      <c r="H43" s="24">
        <v>80</v>
      </c>
      <c r="I43" s="72">
        <f t="shared" si="38"/>
        <v>208.69565217391303</v>
      </c>
      <c r="J43" s="101">
        <f t="shared" si="39"/>
        <v>33.391304347826086</v>
      </c>
      <c r="K43" s="136">
        <f t="shared" si="40"/>
        <v>0.42875326589401747</v>
      </c>
      <c r="L43" s="41"/>
      <c r="M43" s="137">
        <f t="shared" si="46"/>
        <v>0.78260869565217384</v>
      </c>
      <c r="N43" s="73"/>
      <c r="O43" s="43"/>
      <c r="P43" s="43"/>
      <c r="Z43" s="40">
        <v>400</v>
      </c>
      <c r="AA43" s="40">
        <f>Z43/400*600</f>
        <v>600</v>
      </c>
    </row>
    <row r="44" spans="1:27" x14ac:dyDescent="0.25">
      <c r="A44" s="199">
        <f t="shared" si="41"/>
        <v>3000</v>
      </c>
      <c r="B44" s="199">
        <f t="shared" si="42"/>
        <v>800</v>
      </c>
      <c r="C44" s="43">
        <v>1473</v>
      </c>
      <c r="D44" s="43">
        <v>60</v>
      </c>
      <c r="E44" s="221">
        <f t="shared" si="43"/>
        <v>88.38000000000001</v>
      </c>
      <c r="F44" s="100">
        <f t="shared" si="44"/>
        <v>88.15</v>
      </c>
      <c r="G44" s="24">
        <v>25</v>
      </c>
      <c r="H44" s="24">
        <v>80</v>
      </c>
      <c r="I44" s="72">
        <f t="shared" si="38"/>
        <v>192</v>
      </c>
      <c r="J44" s="101">
        <f t="shared" si="39"/>
        <v>46.080000000000005</v>
      </c>
      <c r="K44" s="136">
        <f>J44/E44</f>
        <v>0.52138492871690423</v>
      </c>
      <c r="L44" s="41"/>
      <c r="M44" s="137">
        <f t="shared" si="46"/>
        <v>0.72</v>
      </c>
      <c r="N44" s="73"/>
      <c r="O44" s="43"/>
      <c r="P44" s="43"/>
    </row>
    <row r="45" spans="1:27" x14ac:dyDescent="0.25">
      <c r="A45" s="74"/>
      <c r="B45" s="199"/>
      <c r="C45" s="43"/>
      <c r="D45" s="43"/>
      <c r="E45" s="133"/>
      <c r="F45" s="100"/>
      <c r="G45" s="24"/>
      <c r="H45" s="24"/>
      <c r="I45" s="72"/>
      <c r="J45" s="101"/>
      <c r="K45" s="41"/>
      <c r="L45" s="41"/>
      <c r="M45" s="137"/>
      <c r="N45" s="73"/>
      <c r="O45" s="43"/>
      <c r="P45" s="43"/>
    </row>
    <row r="46" spans="1:27" x14ac:dyDescent="0.25">
      <c r="A46" s="199">
        <f>Q3</f>
        <v>0</v>
      </c>
      <c r="B46" s="199">
        <f>P$8</f>
        <v>1000</v>
      </c>
      <c r="C46" s="43">
        <v>692</v>
      </c>
      <c r="D46" s="43">
        <v>60</v>
      </c>
      <c r="E46" s="221">
        <f>C46/1000*3600/D46</f>
        <v>41.519999999999996</v>
      </c>
      <c r="F46" s="100">
        <f>E46-$J$7</f>
        <v>41.29</v>
      </c>
      <c r="G46" s="24">
        <v>14.5</v>
      </c>
      <c r="H46" s="24">
        <v>80</v>
      </c>
      <c r="I46" s="72">
        <f t="shared" ref="I46:I51" si="47">60*H46/G46</f>
        <v>331.0344827586207</v>
      </c>
      <c r="J46" s="101">
        <f t="shared" ref="J46:J51" si="48">I46/100*A46/100*0.8</f>
        <v>0</v>
      </c>
      <c r="K46" s="136">
        <f t="shared" ref="K46:K50" si="49">J46/E46</f>
        <v>0</v>
      </c>
      <c r="L46" s="41"/>
      <c r="M46" s="137"/>
      <c r="N46" s="73"/>
      <c r="O46" s="43"/>
      <c r="P46" s="43"/>
      <c r="Q46" s="69"/>
      <c r="R46" s="70"/>
      <c r="S46" s="70"/>
    </row>
    <row r="47" spans="1:27" x14ac:dyDescent="0.25">
      <c r="A47" s="199">
        <f t="shared" ref="A47:A51" si="50">Q4</f>
        <v>100</v>
      </c>
      <c r="B47" s="199">
        <f t="shared" ref="B47:B51" si="51">P$8</f>
        <v>1000</v>
      </c>
      <c r="C47" s="43">
        <v>800</v>
      </c>
      <c r="D47" s="43">
        <v>60</v>
      </c>
      <c r="E47" s="221">
        <f t="shared" ref="E47:E51" si="52">C47/1000*3600/D47</f>
        <v>48</v>
      </c>
      <c r="F47" s="100">
        <f t="shared" ref="F47:F51" si="53">E47-$J$7</f>
        <v>47.77</v>
      </c>
      <c r="G47" s="24">
        <v>15</v>
      </c>
      <c r="H47" s="24">
        <v>80</v>
      </c>
      <c r="I47" s="72">
        <f t="shared" si="47"/>
        <v>320</v>
      </c>
      <c r="J47" s="101">
        <f t="shared" si="48"/>
        <v>2.5600000000000005</v>
      </c>
      <c r="K47" s="136">
        <f t="shared" si="49"/>
        <v>5.3333333333333344E-2</v>
      </c>
      <c r="L47" s="41"/>
      <c r="M47" s="137">
        <f>I47/$I$47</f>
        <v>1</v>
      </c>
      <c r="N47" s="73"/>
      <c r="O47" s="43"/>
      <c r="P47" s="43"/>
      <c r="Z47" s="40">
        <v>100</v>
      </c>
      <c r="AA47" s="40">
        <f t="shared" ref="AA47:AA49" si="54">Z47/400*600</f>
        <v>150</v>
      </c>
    </row>
    <row r="48" spans="1:27" x14ac:dyDescent="0.25">
      <c r="A48" s="199">
        <f t="shared" si="50"/>
        <v>500</v>
      </c>
      <c r="B48" s="199">
        <f t="shared" si="51"/>
        <v>1000</v>
      </c>
      <c r="C48" s="43">
        <v>941</v>
      </c>
      <c r="D48" s="43">
        <v>60</v>
      </c>
      <c r="E48" s="221">
        <f t="shared" si="52"/>
        <v>56.46</v>
      </c>
      <c r="F48" s="100">
        <f t="shared" si="53"/>
        <v>56.230000000000004</v>
      </c>
      <c r="G48" s="24">
        <v>16</v>
      </c>
      <c r="H48" s="24">
        <v>80</v>
      </c>
      <c r="I48" s="72">
        <f t="shared" si="47"/>
        <v>300</v>
      </c>
      <c r="J48" s="101">
        <f t="shared" si="48"/>
        <v>12</v>
      </c>
      <c r="K48" s="136">
        <f t="shared" si="49"/>
        <v>0.21253985122210414</v>
      </c>
      <c r="L48" s="41"/>
      <c r="M48" s="137">
        <f t="shared" ref="M48:M51" si="55">I48/$I$47</f>
        <v>0.9375</v>
      </c>
      <c r="N48" s="73"/>
      <c r="O48" s="43"/>
      <c r="P48" s="43"/>
      <c r="Z48" s="40">
        <v>200</v>
      </c>
      <c r="AA48" s="40">
        <f t="shared" si="54"/>
        <v>300</v>
      </c>
    </row>
    <row r="49" spans="1:27" x14ac:dyDescent="0.25">
      <c r="A49" s="199">
        <f t="shared" si="50"/>
        <v>1000</v>
      </c>
      <c r="B49" s="199">
        <f t="shared" si="51"/>
        <v>1000</v>
      </c>
      <c r="C49" s="43">
        <v>1125</v>
      </c>
      <c r="D49" s="43">
        <v>60</v>
      </c>
      <c r="E49" s="221">
        <f t="shared" si="52"/>
        <v>67.5</v>
      </c>
      <c r="F49" s="100">
        <f t="shared" si="53"/>
        <v>67.27</v>
      </c>
      <c r="G49" s="24">
        <v>17</v>
      </c>
      <c r="H49" s="24">
        <v>80</v>
      </c>
      <c r="I49" s="72">
        <f t="shared" si="47"/>
        <v>282.35294117647061</v>
      </c>
      <c r="J49" s="101">
        <f t="shared" si="48"/>
        <v>22.588235294117649</v>
      </c>
      <c r="K49" s="136">
        <f t="shared" si="49"/>
        <v>0.33464052287581703</v>
      </c>
      <c r="L49" s="41"/>
      <c r="M49" s="137">
        <f t="shared" si="55"/>
        <v>0.88235294117647067</v>
      </c>
      <c r="N49" s="73"/>
      <c r="O49" s="43"/>
      <c r="P49" s="43"/>
      <c r="Z49" s="40">
        <v>300</v>
      </c>
      <c r="AA49" s="40">
        <f t="shared" si="54"/>
        <v>450</v>
      </c>
    </row>
    <row r="50" spans="1:27" x14ac:dyDescent="0.25">
      <c r="A50" s="199">
        <f t="shared" si="50"/>
        <v>2000</v>
      </c>
      <c r="B50" s="199">
        <f t="shared" si="51"/>
        <v>1000</v>
      </c>
      <c r="C50" s="43">
        <v>1503</v>
      </c>
      <c r="D50" s="43">
        <v>60</v>
      </c>
      <c r="E50" s="221">
        <f t="shared" si="52"/>
        <v>90.179999999999993</v>
      </c>
      <c r="F50" s="100">
        <f t="shared" si="53"/>
        <v>89.949999999999989</v>
      </c>
      <c r="G50" s="239">
        <v>18.399999999999999</v>
      </c>
      <c r="H50" s="24">
        <v>80</v>
      </c>
      <c r="I50" s="72">
        <f t="shared" si="47"/>
        <v>260.86956521739131</v>
      </c>
      <c r="J50" s="101">
        <f t="shared" si="48"/>
        <v>41.739130434782609</v>
      </c>
      <c r="K50" s="136">
        <f t="shared" si="49"/>
        <v>0.46284243107986928</v>
      </c>
      <c r="L50" s="41"/>
      <c r="M50" s="137">
        <f t="shared" si="55"/>
        <v>0.81521739130434789</v>
      </c>
      <c r="N50" s="73"/>
      <c r="O50" s="43"/>
      <c r="P50" s="43"/>
      <c r="Z50" s="40">
        <v>400</v>
      </c>
      <c r="AA50" s="40">
        <f>Z50/400*600</f>
        <v>600</v>
      </c>
    </row>
    <row r="51" spans="1:27" x14ac:dyDescent="0.25">
      <c r="A51" s="199">
        <f t="shared" si="50"/>
        <v>3000</v>
      </c>
      <c r="B51" s="199">
        <f t="shared" si="51"/>
        <v>1000</v>
      </c>
      <c r="C51" s="43">
        <v>1802</v>
      </c>
      <c r="D51" s="43">
        <v>60</v>
      </c>
      <c r="E51" s="221">
        <f t="shared" si="52"/>
        <v>108.11999999999999</v>
      </c>
      <c r="F51" s="100">
        <f t="shared" si="53"/>
        <v>107.88999999999999</v>
      </c>
      <c r="G51" s="239">
        <v>21</v>
      </c>
      <c r="H51" s="24">
        <v>80</v>
      </c>
      <c r="I51" s="72">
        <f t="shared" si="47"/>
        <v>228.57142857142858</v>
      </c>
      <c r="J51" s="101">
        <f t="shared" si="48"/>
        <v>54.857142857142868</v>
      </c>
      <c r="K51" s="136">
        <f>J51/E51</f>
        <v>0.50737276042492485</v>
      </c>
      <c r="L51" s="41"/>
      <c r="M51" s="137">
        <f t="shared" si="55"/>
        <v>0.7142857142857143</v>
      </c>
      <c r="N51" s="73"/>
      <c r="O51" s="43"/>
      <c r="P51" s="43"/>
    </row>
    <row r="52" spans="1:27" x14ac:dyDescent="0.25">
      <c r="A52" s="43"/>
      <c r="B52" s="199"/>
      <c r="C52" s="41"/>
      <c r="D52" s="41"/>
      <c r="E52" s="41"/>
      <c r="F52" s="75"/>
      <c r="G52" s="41"/>
      <c r="H52" s="43"/>
      <c r="I52" s="76"/>
      <c r="J52" s="71"/>
      <c r="K52" s="41"/>
      <c r="L52" s="41"/>
      <c r="M52" s="137"/>
      <c r="N52" s="73"/>
      <c r="O52" s="43"/>
      <c r="P52" s="43"/>
    </row>
    <row r="53" spans="1:27" x14ac:dyDescent="0.25">
      <c r="A53" s="43"/>
      <c r="B53" s="74"/>
      <c r="C53" s="41"/>
      <c r="D53" s="41"/>
      <c r="E53" s="41"/>
      <c r="F53" s="41"/>
      <c r="G53" s="41"/>
      <c r="H53" s="43"/>
      <c r="I53" s="76"/>
      <c r="J53" s="71"/>
      <c r="K53" s="41"/>
      <c r="L53" s="41"/>
      <c r="M53" s="137"/>
      <c r="N53" s="73"/>
      <c r="O53" s="43"/>
      <c r="P53" s="43"/>
    </row>
    <row r="54" spans="1:27" x14ac:dyDescent="0.25">
      <c r="A54" s="43"/>
      <c r="B54" s="199"/>
      <c r="C54" s="41"/>
      <c r="D54" s="41"/>
      <c r="E54" s="41"/>
      <c r="F54" s="41"/>
      <c r="G54" s="41"/>
      <c r="H54" s="43"/>
      <c r="I54" s="76"/>
      <c r="J54" s="71"/>
      <c r="K54" s="41"/>
      <c r="L54" s="41"/>
      <c r="M54" s="137"/>
      <c r="N54" s="73"/>
      <c r="O54" s="43"/>
      <c r="P54" s="43"/>
    </row>
    <row r="55" spans="1:27" x14ac:dyDescent="0.25">
      <c r="A55" s="47"/>
      <c r="B55" s="199"/>
      <c r="C55" s="41"/>
      <c r="D55" s="41"/>
      <c r="E55" s="41"/>
      <c r="F55" s="41"/>
      <c r="G55" s="41"/>
      <c r="H55" s="43"/>
      <c r="I55" s="76"/>
      <c r="J55" s="71"/>
      <c r="K55" s="41"/>
      <c r="L55" s="41"/>
      <c r="M55" s="137"/>
      <c r="N55" s="73"/>
      <c r="O55" s="43"/>
      <c r="P55" s="43"/>
    </row>
    <row r="56" spans="1:27" x14ac:dyDescent="0.25">
      <c r="A56" s="71"/>
      <c r="B56" s="74"/>
      <c r="C56" s="41"/>
      <c r="D56" s="41"/>
      <c r="E56" s="41"/>
      <c r="F56" s="41"/>
      <c r="G56" s="41"/>
      <c r="H56" s="43"/>
      <c r="I56" s="76"/>
      <c r="J56" s="71"/>
      <c r="K56" s="41"/>
      <c r="L56" s="41"/>
      <c r="M56" s="137"/>
      <c r="N56" s="73"/>
      <c r="O56" s="43"/>
      <c r="P56" s="43"/>
    </row>
    <row r="57" spans="1:27" x14ac:dyDescent="0.25">
      <c r="A57" s="47"/>
      <c r="B57" s="199"/>
      <c r="C57" s="41"/>
      <c r="D57" s="41"/>
      <c r="E57" s="41"/>
      <c r="F57" s="41"/>
      <c r="G57" s="41"/>
      <c r="H57" s="43"/>
      <c r="I57" s="43"/>
      <c r="J57" s="47"/>
      <c r="K57" s="41"/>
      <c r="L57" s="41"/>
      <c r="M57" s="137"/>
      <c r="N57" s="73"/>
      <c r="O57" s="43"/>
      <c r="P57" s="43"/>
    </row>
    <row r="58" spans="1:27" x14ac:dyDescent="0.25">
      <c r="A58" s="47"/>
      <c r="B58" s="199"/>
      <c r="C58" s="41"/>
      <c r="D58" s="41"/>
      <c r="E58" s="41"/>
      <c r="F58" s="41"/>
      <c r="G58" s="136"/>
      <c r="H58" s="43"/>
      <c r="I58" s="43"/>
      <c r="J58" s="47"/>
      <c r="K58" s="41"/>
      <c r="L58" s="41"/>
      <c r="M58" s="137"/>
      <c r="N58" s="73"/>
      <c r="O58" s="43"/>
      <c r="P58" s="43"/>
    </row>
    <row r="59" spans="1:27" x14ac:dyDescent="0.25">
      <c r="A59" s="47"/>
      <c r="B59" s="199"/>
      <c r="C59" s="41"/>
      <c r="D59" s="41"/>
      <c r="E59" s="41"/>
      <c r="F59" s="41"/>
      <c r="G59" s="41"/>
      <c r="H59" s="43"/>
      <c r="I59" s="43"/>
      <c r="J59" s="47"/>
      <c r="K59" s="41"/>
      <c r="L59" s="41"/>
      <c r="M59" s="137"/>
      <c r="N59" s="73"/>
      <c r="O59" s="43"/>
      <c r="P59" s="43"/>
    </row>
    <row r="60" spans="1:27" x14ac:dyDescent="0.25">
      <c r="A60" s="47"/>
      <c r="B60" s="199"/>
      <c r="C60" s="41"/>
      <c r="D60" s="41"/>
      <c r="E60" s="41"/>
      <c r="F60" s="41"/>
      <c r="G60" s="41"/>
      <c r="H60" s="43"/>
      <c r="I60" s="43"/>
      <c r="J60" s="47"/>
      <c r="K60" s="41"/>
      <c r="L60" s="41"/>
      <c r="M60" s="137"/>
      <c r="N60" s="73"/>
      <c r="O60" s="43"/>
      <c r="P60" s="43"/>
    </row>
    <row r="61" spans="1:27" x14ac:dyDescent="0.25">
      <c r="A61" s="47"/>
      <c r="B61" s="199"/>
      <c r="C61" s="41"/>
      <c r="D61" s="41"/>
      <c r="E61" s="41"/>
      <c r="F61" s="41"/>
      <c r="G61" s="41"/>
      <c r="H61" s="43"/>
      <c r="I61" s="43"/>
      <c r="J61" s="47"/>
      <c r="K61" s="41"/>
      <c r="L61" s="41"/>
      <c r="M61" s="137"/>
      <c r="N61" s="73"/>
      <c r="O61" s="43"/>
      <c r="P61" s="43"/>
    </row>
    <row r="63" spans="1:27" x14ac:dyDescent="0.25">
      <c r="L63" s="80" t="s">
        <v>17</v>
      </c>
      <c r="M63" s="125"/>
      <c r="N63" s="123" t="s">
        <v>228</v>
      </c>
    </row>
    <row r="64" spans="1:27" x14ac:dyDescent="0.25">
      <c r="K64" s="79" t="s">
        <v>176</v>
      </c>
      <c r="L64" s="81">
        <f>B11</f>
        <v>100</v>
      </c>
      <c r="M64" s="80">
        <f>B18</f>
        <v>200</v>
      </c>
      <c r="N64" s="80">
        <f>B25</f>
        <v>400</v>
      </c>
      <c r="O64" s="80">
        <f>B32</f>
        <v>600</v>
      </c>
      <c r="P64" s="80">
        <f>B39</f>
        <v>800</v>
      </c>
      <c r="Q64" s="80">
        <f>B46</f>
        <v>1000</v>
      </c>
      <c r="T64" s="253"/>
    </row>
    <row r="65" spans="1:18" x14ac:dyDescent="0.25">
      <c r="K65" s="82">
        <f>Q3</f>
        <v>0</v>
      </c>
      <c r="L65" s="140">
        <f>P11</f>
        <v>32</v>
      </c>
      <c r="M65" s="93">
        <f>P18</f>
        <v>42.666666666666664</v>
      </c>
      <c r="N65" s="93">
        <f>I25</f>
        <v>129.72972972972974</v>
      </c>
      <c r="O65" s="93">
        <f>I32</f>
        <v>195.91836734693877</v>
      </c>
      <c r="P65" s="93">
        <f>I39</f>
        <v>270.42253521126759</v>
      </c>
      <c r="Q65" s="93">
        <f>I46</f>
        <v>331.0344827586207</v>
      </c>
    </row>
    <row r="66" spans="1:18" x14ac:dyDescent="0.25">
      <c r="K66" s="82">
        <f t="shared" ref="K66:K70" si="56">Q4</f>
        <v>100</v>
      </c>
      <c r="L66" s="140">
        <f t="shared" ref="L66:L70" si="57">P12</f>
        <v>31</v>
      </c>
      <c r="M66" s="93">
        <f t="shared" ref="M66:M70" si="58">P19</f>
        <v>41.333333333333329</v>
      </c>
      <c r="N66" s="93">
        <f t="shared" ref="N66:N70" si="59">I26</f>
        <v>126.31578947368421</v>
      </c>
      <c r="O66" s="93">
        <f t="shared" ref="O66:O70" si="60">I33</f>
        <v>192</v>
      </c>
      <c r="P66" s="93">
        <f t="shared" ref="P66:P70" si="61">I40</f>
        <v>266.66666666666669</v>
      </c>
      <c r="Q66" s="93">
        <f t="shared" ref="Q66:Q70" si="62">I47</f>
        <v>320</v>
      </c>
    </row>
    <row r="67" spans="1:18" x14ac:dyDescent="0.25">
      <c r="K67" s="82">
        <f t="shared" si="56"/>
        <v>500</v>
      </c>
      <c r="L67" s="140">
        <f t="shared" si="57"/>
        <v>29</v>
      </c>
      <c r="M67" s="93">
        <f t="shared" si="58"/>
        <v>40.666666666666664</v>
      </c>
      <c r="N67" s="93">
        <f t="shared" si="59"/>
        <v>120</v>
      </c>
      <c r="O67" s="93">
        <f t="shared" si="60"/>
        <v>184.61538461538461</v>
      </c>
      <c r="P67" s="93">
        <f t="shared" si="61"/>
        <v>252.63157894736841</v>
      </c>
      <c r="Q67" s="93">
        <f t="shared" si="62"/>
        <v>300</v>
      </c>
    </row>
    <row r="68" spans="1:18" x14ac:dyDescent="0.25">
      <c r="K68" s="82">
        <f t="shared" si="56"/>
        <v>1000</v>
      </c>
      <c r="L68" s="140">
        <f t="shared" si="57"/>
        <v>28</v>
      </c>
      <c r="M68" s="93">
        <f t="shared" si="58"/>
        <v>38</v>
      </c>
      <c r="N68" s="93">
        <f t="shared" si="59"/>
        <v>117.07317073170732</v>
      </c>
      <c r="O68" s="93">
        <f t="shared" si="60"/>
        <v>177.77777777777777</v>
      </c>
      <c r="P68" s="93">
        <f t="shared" si="61"/>
        <v>240</v>
      </c>
      <c r="Q68" s="93">
        <f t="shared" si="62"/>
        <v>282.35294117647061</v>
      </c>
    </row>
    <row r="69" spans="1:18" x14ac:dyDescent="0.25">
      <c r="K69" s="82">
        <f t="shared" si="56"/>
        <v>2000</v>
      </c>
      <c r="L69" s="140">
        <f t="shared" si="57"/>
        <v>26</v>
      </c>
      <c r="M69" s="93">
        <f t="shared" si="58"/>
        <v>35.333333333333329</v>
      </c>
      <c r="N69" s="93">
        <f t="shared" si="59"/>
        <v>106.66666666666667</v>
      </c>
      <c r="O69" s="93">
        <f t="shared" si="60"/>
        <v>160</v>
      </c>
      <c r="P69" s="93">
        <f t="shared" si="61"/>
        <v>208.69565217391303</v>
      </c>
      <c r="Q69" s="93">
        <f t="shared" si="62"/>
        <v>260.86956521739131</v>
      </c>
    </row>
    <row r="70" spans="1:18" x14ac:dyDescent="0.25">
      <c r="K70" s="82">
        <f t="shared" si="56"/>
        <v>3000</v>
      </c>
      <c r="L70" s="140">
        <f t="shared" si="57"/>
        <v>24</v>
      </c>
      <c r="M70" s="93">
        <f t="shared" si="58"/>
        <v>32.666666666666664</v>
      </c>
      <c r="N70" s="93">
        <f t="shared" si="59"/>
        <v>97.959183673469383</v>
      </c>
      <c r="O70" s="93">
        <f t="shared" si="60"/>
        <v>145.45454545454547</v>
      </c>
      <c r="P70" s="93">
        <f t="shared" si="61"/>
        <v>192</v>
      </c>
      <c r="Q70" s="93">
        <f t="shared" si="62"/>
        <v>228.57142857142858</v>
      </c>
    </row>
    <row r="71" spans="1:18" x14ac:dyDescent="0.25">
      <c r="K71" s="83"/>
      <c r="M71" s="125"/>
    </row>
    <row r="72" spans="1:18" x14ac:dyDescent="0.25">
      <c r="K72" s="123">
        <f>B80</f>
        <v>2040</v>
      </c>
      <c r="L72" s="40">
        <f t="shared" ref="L72:Q72" si="63">_xlfn.FORECAST.LINEAR($B$80,L65:L70,$K$65:$K$70)</f>
        <v>25.996761904761904</v>
      </c>
      <c r="M72" s="40">
        <f t="shared" si="63"/>
        <v>35.409587301587301</v>
      </c>
      <c r="N72" s="40">
        <f t="shared" si="63"/>
        <v>106.80973404771891</v>
      </c>
      <c r="O72" s="40">
        <f t="shared" si="63"/>
        <v>160.42501800542621</v>
      </c>
      <c r="P72" s="40">
        <f t="shared" si="63"/>
        <v>213.27998785287369</v>
      </c>
      <c r="Q72" s="40">
        <f t="shared" si="63"/>
        <v>257.15141132914931</v>
      </c>
      <c r="R72" s="123" t="s">
        <v>25</v>
      </c>
    </row>
    <row r="73" spans="1:18" x14ac:dyDescent="0.25">
      <c r="J73" s="123" t="s">
        <v>25</v>
      </c>
      <c r="K73" s="94">
        <f>B79</f>
        <v>9.463519999999999</v>
      </c>
      <c r="L73" s="95">
        <f>_xlfn.FORECAST.LINEAR(K73,L64:Q64,L72:Q72)</f>
        <v>59.526342502493897</v>
      </c>
      <c r="M73" s="125" t="s">
        <v>17</v>
      </c>
    </row>
    <row r="77" spans="1:18" x14ac:dyDescent="0.25">
      <c r="A77" s="49" t="s">
        <v>229</v>
      </c>
      <c r="B77" s="77">
        <v>1670</v>
      </c>
      <c r="C77" s="40" t="s">
        <v>25</v>
      </c>
      <c r="M77" s="125"/>
    </row>
    <row r="78" spans="1:18" x14ac:dyDescent="0.25">
      <c r="B78" s="77">
        <v>1000</v>
      </c>
      <c r="C78" s="40" t="s">
        <v>17</v>
      </c>
      <c r="M78" s="125"/>
      <c r="N78" s="253" t="s">
        <v>373</v>
      </c>
      <c r="O78" s="253" t="s">
        <v>372</v>
      </c>
      <c r="P78" s="253" t="s">
        <v>373</v>
      </c>
      <c r="Q78" s="253" t="s">
        <v>372</v>
      </c>
    </row>
    <row r="79" spans="1:18" x14ac:dyDescent="0.25">
      <c r="A79" s="40" t="s">
        <v>230</v>
      </c>
      <c r="B79" s="78">
        <f>Q</f>
        <v>9.463519999999999</v>
      </c>
      <c r="C79" s="40" t="s">
        <v>25</v>
      </c>
      <c r="M79" s="125"/>
      <c r="N79" s="40">
        <f>C87</f>
        <v>9.9499999999999993</v>
      </c>
      <c r="O79" s="249">
        <f>L65</f>
        <v>32</v>
      </c>
      <c r="P79" s="40">
        <f>D87</f>
        <v>13.290000000000001</v>
      </c>
      <c r="Q79" s="249">
        <f>M65</f>
        <v>42.666666666666664</v>
      </c>
    </row>
    <row r="80" spans="1:18" x14ac:dyDescent="0.25">
      <c r="A80" s="40" t="s">
        <v>231</v>
      </c>
      <c r="B80" s="78">
        <f>Pavg</f>
        <v>2040</v>
      </c>
      <c r="C80" s="40">
        <v>1000</v>
      </c>
      <c r="D80" s="40" t="s">
        <v>232</v>
      </c>
      <c r="M80" s="125"/>
      <c r="N80" s="40">
        <f t="shared" ref="N80:N84" si="64">C88</f>
        <v>10.72</v>
      </c>
      <c r="O80" s="249">
        <f t="shared" ref="O80:O84" si="65">L66</f>
        <v>31</v>
      </c>
      <c r="P80" s="40">
        <f t="shared" ref="P80:P84" si="66">D88</f>
        <v>15.06</v>
      </c>
      <c r="Q80" s="249">
        <f t="shared" ref="Q80:Q84" si="67">M66</f>
        <v>41.333333333333329</v>
      </c>
    </row>
    <row r="81" spans="1:17" x14ac:dyDescent="0.25">
      <c r="A81" s="40" t="s">
        <v>233</v>
      </c>
      <c r="B81" s="77">
        <v>0</v>
      </c>
      <c r="C81" s="40" t="s">
        <v>234</v>
      </c>
      <c r="E81" s="40" t="s">
        <v>235</v>
      </c>
      <c r="N81" s="40">
        <f t="shared" si="64"/>
        <v>11.92</v>
      </c>
      <c r="O81" s="249">
        <f t="shared" si="65"/>
        <v>29</v>
      </c>
      <c r="P81" s="40">
        <f t="shared" si="66"/>
        <v>16.959999999999997</v>
      </c>
      <c r="Q81" s="249">
        <f t="shared" si="67"/>
        <v>40.666666666666664</v>
      </c>
    </row>
    <row r="82" spans="1:17" x14ac:dyDescent="0.25">
      <c r="A82" s="40" t="s">
        <v>236</v>
      </c>
      <c r="B82" s="77">
        <f>L73</f>
        <v>59.526342502493897</v>
      </c>
      <c r="N82" s="40">
        <f t="shared" si="64"/>
        <v>13.92</v>
      </c>
      <c r="O82" s="249">
        <f t="shared" si="65"/>
        <v>28</v>
      </c>
      <c r="P82" s="40">
        <f t="shared" si="66"/>
        <v>21.720000000000002</v>
      </c>
      <c r="Q82" s="249">
        <f t="shared" si="67"/>
        <v>38</v>
      </c>
    </row>
    <row r="83" spans="1:17" x14ac:dyDescent="0.25">
      <c r="A83" s="40" t="s">
        <v>237</v>
      </c>
      <c r="B83" s="77">
        <f>(1+(B80/C80*B81))*B82</f>
        <v>59.526342502493897</v>
      </c>
      <c r="N83" s="40">
        <f t="shared" si="64"/>
        <v>18.399999999999999</v>
      </c>
      <c r="O83" s="249">
        <f t="shared" si="65"/>
        <v>26</v>
      </c>
      <c r="P83" s="40">
        <f t="shared" si="66"/>
        <v>31.219999999999995</v>
      </c>
      <c r="Q83" s="249">
        <f t="shared" si="67"/>
        <v>35.333333333333329</v>
      </c>
    </row>
    <row r="84" spans="1:17" x14ac:dyDescent="0.25">
      <c r="A84" s="40" t="s">
        <v>238</v>
      </c>
      <c r="N84" s="40">
        <f t="shared" si="64"/>
        <v>20.499999999999996</v>
      </c>
      <c r="O84" s="249">
        <f t="shared" si="65"/>
        <v>24</v>
      </c>
      <c r="P84" s="40">
        <f t="shared" si="66"/>
        <v>36.080000000000005</v>
      </c>
      <c r="Q84" s="249">
        <f t="shared" si="67"/>
        <v>32.666666666666664</v>
      </c>
    </row>
    <row r="85" spans="1:17" x14ac:dyDescent="0.25">
      <c r="A85" s="79" t="s">
        <v>176</v>
      </c>
      <c r="E85" s="123" t="s">
        <v>239</v>
      </c>
      <c r="H85" s="40" t="s">
        <v>240</v>
      </c>
      <c r="O85" s="249"/>
      <c r="Q85" s="249"/>
    </row>
    <row r="86" spans="1:17" x14ac:dyDescent="0.25">
      <c r="A86" s="80" t="s">
        <v>17</v>
      </c>
      <c r="B86" s="77">
        <v>0.1</v>
      </c>
      <c r="C86" s="81">
        <f>B11</f>
        <v>100</v>
      </c>
      <c r="D86" s="80">
        <f>B18</f>
        <v>200</v>
      </c>
      <c r="E86" s="80">
        <f>B25</f>
        <v>400</v>
      </c>
      <c r="F86" s="80">
        <f>B32</f>
        <v>600</v>
      </c>
      <c r="G86" s="80">
        <f>B39</f>
        <v>800</v>
      </c>
      <c r="H86" s="80">
        <f>B46</f>
        <v>1000</v>
      </c>
      <c r="I86" s="40">
        <f>H86*10</f>
        <v>10000</v>
      </c>
    </row>
    <row r="87" spans="1:17" x14ac:dyDescent="0.25">
      <c r="A87" s="82">
        <f>Q3</f>
        <v>0</v>
      </c>
      <c r="B87" s="77">
        <f>$J$7</f>
        <v>0.22999999999999998</v>
      </c>
      <c r="C87" s="41">
        <f>F11</f>
        <v>9.9499999999999993</v>
      </c>
      <c r="D87" s="43">
        <f>F18</f>
        <v>13.290000000000001</v>
      </c>
      <c r="E87" s="43">
        <f t="shared" ref="E87:E92" si="68">F25</f>
        <v>19.810000000000002</v>
      </c>
      <c r="F87" s="43">
        <f t="shared" ref="F87:F92" si="69">F32</f>
        <v>26.77</v>
      </c>
      <c r="G87" s="43">
        <f t="shared" ref="G87:G92" si="70">F39</f>
        <v>34.57</v>
      </c>
      <c r="H87" s="43">
        <f t="shared" ref="H87:H92" si="71">F46</f>
        <v>41.29</v>
      </c>
      <c r="I87" s="40">
        <f t="shared" ref="I87:I92" si="72">H87*10</f>
        <v>412.9</v>
      </c>
      <c r="J87" s="94">
        <f t="shared" ref="J87:J92" ca="1" si="73">_xlfn.FORECAST.LINEAR(__RPM1,OFFSET(B87:H87,0,MATCH(__RPM1,$B$86:$H$86,1)-1,1,2),OFFSET($B$86:$H$86,0,MATCH(__RPM1,$B$86:$H$86,1)-1,1,2))</f>
        <v>6.0120225137561629</v>
      </c>
    </row>
    <row r="88" spans="1:17" x14ac:dyDescent="0.25">
      <c r="A88" s="82">
        <f t="shared" ref="A88:A91" si="74">Q4</f>
        <v>100</v>
      </c>
      <c r="B88" s="77">
        <f t="shared" ref="B88:B92" si="75">$J$7</f>
        <v>0.22999999999999998</v>
      </c>
      <c r="C88" s="41">
        <f>E12</f>
        <v>10.72</v>
      </c>
      <c r="D88" s="43">
        <f>E19</f>
        <v>15.06</v>
      </c>
      <c r="E88" s="43">
        <f t="shared" si="68"/>
        <v>22.84</v>
      </c>
      <c r="F88" s="43">
        <f t="shared" si="69"/>
        <v>30.519999999999996</v>
      </c>
      <c r="G88" s="43">
        <f t="shared" si="70"/>
        <v>37.450000000000003</v>
      </c>
      <c r="H88" s="43">
        <f t="shared" si="71"/>
        <v>47.77</v>
      </c>
      <c r="I88" s="40">
        <f t="shared" si="72"/>
        <v>477.70000000000005</v>
      </c>
      <c r="J88" s="94">
        <f t="shared" ca="1" si="73"/>
        <v>6.4700633919035146</v>
      </c>
    </row>
    <row r="89" spans="1:17" x14ac:dyDescent="0.25">
      <c r="A89" s="82">
        <f t="shared" si="74"/>
        <v>500</v>
      </c>
      <c r="B89" s="77">
        <f t="shared" si="75"/>
        <v>0.22999999999999998</v>
      </c>
      <c r="C89" s="41">
        <f>E13</f>
        <v>11.92</v>
      </c>
      <c r="D89" s="43">
        <f>E20</f>
        <v>16.959999999999997</v>
      </c>
      <c r="E89" s="43">
        <f t="shared" si="68"/>
        <v>27.07</v>
      </c>
      <c r="F89" s="43">
        <f t="shared" si="69"/>
        <v>36.79</v>
      </c>
      <c r="G89" s="43">
        <f t="shared" si="70"/>
        <v>45.550000000000004</v>
      </c>
      <c r="H89" s="43">
        <f t="shared" si="71"/>
        <v>56.230000000000004</v>
      </c>
      <c r="I89" s="40">
        <f t="shared" si="72"/>
        <v>562.30000000000007</v>
      </c>
      <c r="J89" s="94">
        <f t="shared" ca="1" si="73"/>
        <v>7.1838933318734099</v>
      </c>
    </row>
    <row r="90" spans="1:17" x14ac:dyDescent="0.25">
      <c r="A90" s="82">
        <f t="shared" si="74"/>
        <v>1000</v>
      </c>
      <c r="B90" s="77">
        <f t="shared" si="75"/>
        <v>0.22999999999999998</v>
      </c>
      <c r="C90" s="41">
        <f>E14</f>
        <v>13.92</v>
      </c>
      <c r="D90" s="43">
        <f>E21</f>
        <v>21.720000000000002</v>
      </c>
      <c r="E90" s="43">
        <f t="shared" si="68"/>
        <v>34.660000000000004</v>
      </c>
      <c r="F90" s="43">
        <f t="shared" si="69"/>
        <v>46.57</v>
      </c>
      <c r="G90" s="43">
        <f t="shared" si="70"/>
        <v>57.13</v>
      </c>
      <c r="H90" s="43">
        <f t="shared" si="71"/>
        <v>67.27</v>
      </c>
      <c r="I90" s="40">
        <f t="shared" si="72"/>
        <v>672.69999999999993</v>
      </c>
      <c r="J90" s="94">
        <f t="shared" ca="1" si="73"/>
        <v>8.3736098984899066</v>
      </c>
    </row>
    <row r="91" spans="1:17" x14ac:dyDescent="0.25">
      <c r="A91" s="82">
        <f t="shared" si="74"/>
        <v>2000</v>
      </c>
      <c r="B91" s="77">
        <f t="shared" si="75"/>
        <v>0.22999999999999998</v>
      </c>
      <c r="C91" s="41">
        <f>E15</f>
        <v>18.399999999999999</v>
      </c>
      <c r="D91" s="43">
        <f>E22</f>
        <v>31.219999999999995</v>
      </c>
      <c r="E91" s="43">
        <f t="shared" si="68"/>
        <v>51.370000000000005</v>
      </c>
      <c r="F91" s="43">
        <f t="shared" si="69"/>
        <v>64.86999999999999</v>
      </c>
      <c r="G91" s="43">
        <f t="shared" si="70"/>
        <v>77.650000000000006</v>
      </c>
      <c r="H91" s="43">
        <f t="shared" si="71"/>
        <v>89.949999999999989</v>
      </c>
      <c r="I91" s="40">
        <f t="shared" si="72"/>
        <v>899.49999999999989</v>
      </c>
      <c r="J91" s="94">
        <f t="shared" ca="1" si="73"/>
        <v>11.038575007710852</v>
      </c>
    </row>
    <row r="92" spans="1:17" x14ac:dyDescent="0.25">
      <c r="A92" s="82">
        <f>Q8+0.1</f>
        <v>3000.1</v>
      </c>
      <c r="B92" s="77">
        <f t="shared" si="75"/>
        <v>0.22999999999999998</v>
      </c>
      <c r="C92" s="41">
        <f>E16</f>
        <v>20.499999999999996</v>
      </c>
      <c r="D92" s="43">
        <f>E23</f>
        <v>36.080000000000005</v>
      </c>
      <c r="E92" s="43">
        <f t="shared" si="68"/>
        <v>54.43</v>
      </c>
      <c r="F92" s="43">
        <f t="shared" si="69"/>
        <v>73.599999999999994</v>
      </c>
      <c r="G92" s="43">
        <f t="shared" si="70"/>
        <v>88.15</v>
      </c>
      <c r="H92" s="43">
        <f t="shared" si="71"/>
        <v>107.88999999999999</v>
      </c>
      <c r="I92" s="40">
        <f t="shared" si="72"/>
        <v>1078.8999999999999</v>
      </c>
      <c r="J92" s="94">
        <f t="shared" ca="1" si="73"/>
        <v>12.28777740265817</v>
      </c>
    </row>
    <row r="95" spans="1:17" x14ac:dyDescent="0.25">
      <c r="A95" s="40" t="s">
        <v>241</v>
      </c>
      <c r="B95" s="84">
        <f>B83</f>
        <v>59.526342502493897</v>
      </c>
      <c r="C95" s="40" t="s">
        <v>17</v>
      </c>
    </row>
    <row r="96" spans="1:17" x14ac:dyDescent="0.25">
      <c r="A96" s="40" t="s">
        <v>242</v>
      </c>
      <c r="B96" s="84">
        <f>B80</f>
        <v>2040</v>
      </c>
      <c r="C96" s="40" t="s">
        <v>165</v>
      </c>
    </row>
    <row r="97" spans="1:3" x14ac:dyDescent="0.25">
      <c r="A97" s="40" t="s">
        <v>243</v>
      </c>
      <c r="B97" s="85">
        <f ca="1">_xlfn.FORECAST.LINEAR(Press1,OFFSET(J87:J92,MATCH(Press1,A87:A92,1)-1,0,2),OFFSET(A87:A92,MATCH(Press1,A87:A92,1)-1,0,2))</f>
        <v>11.088538107198795</v>
      </c>
      <c r="C97" s="40" t="s">
        <v>18</v>
      </c>
    </row>
  </sheetData>
  <mergeCells count="3">
    <mergeCell ref="C9:E9"/>
    <mergeCell ref="F9:H9"/>
    <mergeCell ref="L9:N9"/>
  </mergeCells>
  <pageMargins left="0.70866141732283472" right="0.70866141732283472" top="0.74803149606299213" bottom="0.74803149606299213" header="0.31496062992125984" footer="0.31496062992125984"/>
  <pageSetup scale="56" orientation="landscape" r:id="rId1"/>
  <rowBreaks count="1" manualBreakCount="1">
    <brk id="54" max="1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19CED-53A9-4647-98EE-C131935B02A3}">
  <sheetPr>
    <tabColor rgb="FFFF0000"/>
  </sheetPr>
  <dimension ref="A1:AA97"/>
  <sheetViews>
    <sheetView topLeftCell="A19" workbookViewId="0">
      <selection activeCell="E21" sqref="E21"/>
    </sheetView>
  </sheetViews>
  <sheetFormatPr defaultColWidth="9.140625" defaultRowHeight="15" x14ac:dyDescent="0.25"/>
  <cols>
    <col min="1" max="1" width="14.7109375" style="40" customWidth="1"/>
    <col min="2" max="2" width="11.28515625" style="77" customWidth="1"/>
    <col min="3" max="3" width="12.42578125" style="40" customWidth="1"/>
    <col min="4" max="4" width="19.140625" style="40" customWidth="1"/>
    <col min="5" max="5" width="13.7109375" style="40" customWidth="1"/>
    <col min="6" max="6" width="14.85546875" style="40" customWidth="1"/>
    <col min="7" max="7" width="13.140625" style="40" customWidth="1"/>
    <col min="8" max="8" width="9.140625" style="40"/>
    <col min="9" max="9" width="12.140625" style="40" customWidth="1"/>
    <col min="10" max="10" width="10.5703125" style="40" customWidth="1"/>
    <col min="11" max="11" width="12" style="40" customWidth="1"/>
    <col min="12" max="12" width="9.140625" style="40" customWidth="1"/>
    <col min="13" max="13" width="9.140625" style="44"/>
    <col min="14" max="16384" width="9.140625" style="40"/>
  </cols>
  <sheetData>
    <row r="1" spans="1:27" x14ac:dyDescent="0.25">
      <c r="B1" s="41" t="s">
        <v>195</v>
      </c>
      <c r="C1" s="42">
        <v>44371</v>
      </c>
      <c r="D1" s="213" t="s">
        <v>344</v>
      </c>
      <c r="E1" s="248" t="s">
        <v>370</v>
      </c>
      <c r="F1" s="43"/>
      <c r="M1" s="125"/>
    </row>
    <row r="2" spans="1:27" ht="21" x14ac:dyDescent="0.35">
      <c r="A2" s="45" t="s">
        <v>343</v>
      </c>
      <c r="B2" s="46"/>
      <c r="C2" s="45"/>
      <c r="D2" s="45"/>
      <c r="E2" s="45"/>
      <c r="F2" s="45"/>
      <c r="G2" s="45"/>
      <c r="H2" s="45"/>
      <c r="I2" s="45"/>
      <c r="J2" s="45"/>
      <c r="K2" s="45"/>
      <c r="L2" s="45"/>
      <c r="M2" s="40"/>
      <c r="P2" s="47" t="s">
        <v>198</v>
      </c>
      <c r="Q2" s="49" t="s">
        <v>199</v>
      </c>
    </row>
    <row r="3" spans="1:27" x14ac:dyDescent="0.25">
      <c r="A3" s="47" t="s">
        <v>200</v>
      </c>
      <c r="B3" s="199"/>
      <c r="C3" s="47" t="s">
        <v>250</v>
      </c>
      <c r="D3" s="47"/>
      <c r="E3" s="47"/>
      <c r="F3" s="47"/>
      <c r="G3" s="48"/>
      <c r="H3" s="43"/>
      <c r="I3" s="49"/>
      <c r="K3" s="49"/>
      <c r="L3" s="49"/>
      <c r="M3" s="40"/>
      <c r="P3" s="47">
        <f>1000*0.1</f>
        <v>100</v>
      </c>
      <c r="Q3" s="47">
        <v>0</v>
      </c>
    </row>
    <row r="4" spans="1:27" x14ac:dyDescent="0.25">
      <c r="A4" s="199" t="s">
        <v>204</v>
      </c>
      <c r="B4" s="199"/>
      <c r="C4" s="199">
        <v>0.375</v>
      </c>
      <c r="D4" s="199"/>
      <c r="E4" s="199"/>
      <c r="F4" s="199"/>
      <c r="G4" s="51" t="s">
        <v>205</v>
      </c>
      <c r="H4" s="222" t="s">
        <v>355</v>
      </c>
      <c r="I4" s="223"/>
      <c r="J4" s="224" t="s">
        <v>18</v>
      </c>
      <c r="K4" s="225"/>
      <c r="L4" s="224"/>
      <c r="M4" s="226"/>
      <c r="N4" s="223"/>
      <c r="O4" s="47"/>
      <c r="P4" s="47">
        <f>1000*0.2</f>
        <v>200</v>
      </c>
      <c r="Q4" s="47">
        <v>100</v>
      </c>
      <c r="S4" s="154" t="s">
        <v>255</v>
      </c>
    </row>
    <row r="5" spans="1:27" x14ac:dyDescent="0.25">
      <c r="A5" s="199" t="s">
        <v>206</v>
      </c>
      <c r="B5" s="199"/>
      <c r="C5" s="199">
        <v>25.8</v>
      </c>
      <c r="D5" s="199"/>
      <c r="E5" s="199"/>
      <c r="F5" s="199"/>
      <c r="G5" s="52" t="s">
        <v>207</v>
      </c>
      <c r="H5" s="227">
        <v>73.5</v>
      </c>
      <c r="I5" s="225"/>
      <c r="J5" s="223">
        <f>H5/1000*25</f>
        <v>1.8374999999999999</v>
      </c>
      <c r="K5" s="228" t="s">
        <v>357</v>
      </c>
      <c r="L5" s="223"/>
      <c r="M5" s="226"/>
      <c r="N5" s="223"/>
      <c r="O5" s="47"/>
      <c r="P5" s="47">
        <f>1000*0.4</f>
        <v>400</v>
      </c>
      <c r="Q5" s="47">
        <v>500</v>
      </c>
      <c r="S5" s="40">
        <v>300</v>
      </c>
    </row>
    <row r="6" spans="1:27" x14ac:dyDescent="0.25">
      <c r="A6" s="199" t="s">
        <v>208</v>
      </c>
      <c r="B6" s="199"/>
      <c r="C6" s="199">
        <f>0.15-0.014</f>
        <v>0.13599999999999998</v>
      </c>
      <c r="D6" s="199"/>
      <c r="E6" s="199"/>
      <c r="F6" s="199"/>
      <c r="G6" s="51" t="s">
        <v>209</v>
      </c>
      <c r="H6" s="227">
        <v>64.3</v>
      </c>
      <c r="I6" s="225"/>
      <c r="J6" s="223">
        <f>H6/1000*25</f>
        <v>1.6074999999999999</v>
      </c>
      <c r="K6" s="228" t="s">
        <v>357</v>
      </c>
      <c r="L6" s="223"/>
      <c r="M6" s="226"/>
      <c r="N6" s="223"/>
      <c r="O6" s="47"/>
      <c r="P6" s="47">
        <f>1000*0.6</f>
        <v>600</v>
      </c>
      <c r="Q6" s="47">
        <v>1000</v>
      </c>
    </row>
    <row r="7" spans="1:27" x14ac:dyDescent="0.25">
      <c r="A7" s="53" t="s">
        <v>210</v>
      </c>
      <c r="B7" s="199"/>
      <c r="C7" s="199" t="s">
        <v>345</v>
      </c>
      <c r="D7" s="199"/>
      <c r="E7" s="199"/>
      <c r="F7" s="199"/>
      <c r="H7" s="223"/>
      <c r="I7" s="223" t="s">
        <v>212</v>
      </c>
      <c r="J7" s="224">
        <f>J5-J6</f>
        <v>0.22999999999999998</v>
      </c>
      <c r="K7" s="224" t="s">
        <v>18</v>
      </c>
      <c r="L7" s="228" t="s">
        <v>356</v>
      </c>
      <c r="M7" s="226"/>
      <c r="N7" s="223"/>
      <c r="O7" s="47"/>
      <c r="P7" s="47">
        <f>1000*0.8</f>
        <v>800</v>
      </c>
      <c r="Q7" s="47">
        <v>2000</v>
      </c>
    </row>
    <row r="8" spans="1:27" ht="15.75" thickBot="1" x14ac:dyDescent="0.3">
      <c r="A8" s="53" t="s">
        <v>213</v>
      </c>
      <c r="B8" s="199"/>
      <c r="C8" s="148" t="s">
        <v>346</v>
      </c>
      <c r="D8" s="53"/>
      <c r="E8" s="53"/>
      <c r="F8" s="53"/>
      <c r="G8" s="40" t="s">
        <v>215</v>
      </c>
      <c r="J8" s="50"/>
      <c r="K8" s="50"/>
      <c r="L8" s="50"/>
      <c r="M8" s="151"/>
      <c r="O8" s="54"/>
      <c r="P8" s="54">
        <v>1000</v>
      </c>
      <c r="Q8" s="71">
        <v>3000</v>
      </c>
    </row>
    <row r="9" spans="1:27" x14ac:dyDescent="0.25">
      <c r="A9" s="47" t="s">
        <v>176</v>
      </c>
      <c r="C9" s="285" t="s">
        <v>216</v>
      </c>
      <c r="D9" s="286"/>
      <c r="E9" s="287"/>
      <c r="F9" s="288" t="s">
        <v>217</v>
      </c>
      <c r="G9" s="288"/>
      <c r="H9" s="288"/>
      <c r="I9" s="55" t="s">
        <v>256</v>
      </c>
      <c r="J9" s="56" t="s">
        <v>218</v>
      </c>
      <c r="K9" s="57" t="s">
        <v>219</v>
      </c>
      <c r="L9" s="289"/>
      <c r="M9" s="290"/>
      <c r="N9" s="290"/>
      <c r="O9" s="58"/>
      <c r="P9" s="156" t="s">
        <v>257</v>
      </c>
      <c r="Z9" s="40">
        <v>10</v>
      </c>
      <c r="AA9" s="40">
        <f t="shared" ref="AA9:AA14" si="0">Z9/400*600</f>
        <v>15</v>
      </c>
    </row>
    <row r="10" spans="1:27" ht="15.75" thickBot="1" x14ac:dyDescent="0.3">
      <c r="A10" s="199" t="s">
        <v>220</v>
      </c>
      <c r="B10" s="199" t="s">
        <v>17</v>
      </c>
      <c r="C10" s="53" t="s">
        <v>202</v>
      </c>
      <c r="D10" s="50" t="s">
        <v>353</v>
      </c>
      <c r="E10" s="61" t="s">
        <v>18</v>
      </c>
      <c r="F10" s="62" t="s">
        <v>222</v>
      </c>
      <c r="G10" s="53" t="s">
        <v>223</v>
      </c>
      <c r="H10" s="53" t="s">
        <v>224</v>
      </c>
      <c r="I10" s="64" t="s">
        <v>225</v>
      </c>
      <c r="J10" s="60" t="s">
        <v>18</v>
      </c>
      <c r="K10" s="63" t="s">
        <v>226</v>
      </c>
      <c r="L10" s="63"/>
      <c r="M10" s="65" t="s">
        <v>227</v>
      </c>
      <c r="N10" s="66"/>
      <c r="O10" s="153" t="s">
        <v>254</v>
      </c>
      <c r="P10" s="68" t="s">
        <v>258</v>
      </c>
      <c r="Q10" s="69"/>
      <c r="R10" s="70"/>
      <c r="S10" s="70"/>
      <c r="Z10" s="40">
        <v>50</v>
      </c>
      <c r="AA10" s="40">
        <f t="shared" si="0"/>
        <v>75</v>
      </c>
    </row>
    <row r="11" spans="1:27" x14ac:dyDescent="0.25">
      <c r="A11" s="74">
        <f>Q3</f>
        <v>0</v>
      </c>
      <c r="B11" s="199">
        <v>100</v>
      </c>
      <c r="C11" s="43">
        <v>410</v>
      </c>
      <c r="D11" s="43">
        <v>180</v>
      </c>
      <c r="E11" s="221">
        <f>C11/1000*3600/D11</f>
        <v>8.1999999999999993</v>
      </c>
      <c r="F11" s="100">
        <f>E11-$J$7</f>
        <v>7.9699999999999989</v>
      </c>
      <c r="G11" s="24">
        <v>60</v>
      </c>
      <c r="H11" s="24">
        <v>62</v>
      </c>
      <c r="I11" s="72">
        <f t="shared" ref="I11:I16" si="1">60*H11/G11</f>
        <v>62</v>
      </c>
      <c r="J11" s="101">
        <f t="shared" ref="J11:J16" si="2">I11/100*A11/100*0.8</f>
        <v>0</v>
      </c>
      <c r="K11" s="136">
        <f t="shared" ref="K11:K15" si="3">J11/E11</f>
        <v>0</v>
      </c>
      <c r="L11" s="41"/>
      <c r="M11" s="137"/>
      <c r="N11" s="73"/>
      <c r="O11" s="155">
        <v>1</v>
      </c>
      <c r="P11" s="43">
        <f>I11*O11</f>
        <v>62</v>
      </c>
      <c r="Q11" s="69"/>
      <c r="R11" s="70"/>
      <c r="S11" s="70"/>
    </row>
    <row r="12" spans="1:27" x14ac:dyDescent="0.25">
      <c r="A12" s="74">
        <f t="shared" ref="A12:A16" si="4">Q4</f>
        <v>100</v>
      </c>
      <c r="B12" s="231">
        <v>100</v>
      </c>
      <c r="C12" s="43">
        <v>491</v>
      </c>
      <c r="D12" s="43">
        <v>180</v>
      </c>
      <c r="E12" s="221">
        <f t="shared" ref="E12:E16" si="5">C12/1000*3600/D12</f>
        <v>9.82</v>
      </c>
      <c r="F12" s="100">
        <f t="shared" ref="F12:F16" si="6">E12-$J$7</f>
        <v>9.59</v>
      </c>
      <c r="G12" s="24">
        <v>60</v>
      </c>
      <c r="H12" s="24">
        <v>57</v>
      </c>
      <c r="I12" s="72">
        <f t="shared" si="1"/>
        <v>57</v>
      </c>
      <c r="J12" s="101">
        <f t="shared" si="2"/>
        <v>0.45599999999999996</v>
      </c>
      <c r="K12" s="136">
        <f>J12/E12</f>
        <v>4.6435845213849282E-2</v>
      </c>
      <c r="L12" s="41"/>
      <c r="M12" s="137">
        <f>I12/$I$12</f>
        <v>1</v>
      </c>
      <c r="N12" s="73"/>
      <c r="O12" s="155">
        <v>1</v>
      </c>
      <c r="P12" s="43">
        <f t="shared" ref="P12:P16" si="7">I12*O12</f>
        <v>57</v>
      </c>
      <c r="Z12" s="40">
        <v>100</v>
      </c>
      <c r="AA12" s="40">
        <f t="shared" si="0"/>
        <v>150</v>
      </c>
    </row>
    <row r="13" spans="1:27" x14ac:dyDescent="0.25">
      <c r="A13" s="74">
        <f t="shared" si="4"/>
        <v>500</v>
      </c>
      <c r="B13" s="231">
        <v>100</v>
      </c>
      <c r="C13" s="43">
        <v>580</v>
      </c>
      <c r="D13" s="43">
        <v>180</v>
      </c>
      <c r="E13" s="221">
        <f t="shared" si="5"/>
        <v>11.6</v>
      </c>
      <c r="F13" s="100">
        <f t="shared" si="6"/>
        <v>11.37</v>
      </c>
      <c r="G13" s="24">
        <v>60</v>
      </c>
      <c r="H13" s="24">
        <v>53</v>
      </c>
      <c r="I13" s="72">
        <f t="shared" si="1"/>
        <v>53</v>
      </c>
      <c r="J13" s="101">
        <f t="shared" si="2"/>
        <v>2.12</v>
      </c>
      <c r="K13" s="136">
        <f t="shared" si="3"/>
        <v>0.18275862068965518</v>
      </c>
      <c r="L13" s="41"/>
      <c r="M13" s="137">
        <f>I13/$I$12</f>
        <v>0.92982456140350878</v>
      </c>
      <c r="N13" s="73"/>
      <c r="O13" s="155">
        <v>1</v>
      </c>
      <c r="P13" s="43">
        <f t="shared" si="7"/>
        <v>53</v>
      </c>
      <c r="Z13" s="40">
        <v>200</v>
      </c>
      <c r="AA13" s="40">
        <f t="shared" si="0"/>
        <v>300</v>
      </c>
    </row>
    <row r="14" spans="1:27" x14ac:dyDescent="0.25">
      <c r="A14" s="74">
        <f t="shared" si="4"/>
        <v>1000</v>
      </c>
      <c r="B14" s="231">
        <v>100</v>
      </c>
      <c r="C14" s="43">
        <v>704</v>
      </c>
      <c r="D14" s="43">
        <v>180</v>
      </c>
      <c r="E14" s="221">
        <f t="shared" si="5"/>
        <v>14.079999999999998</v>
      </c>
      <c r="F14" s="100">
        <f t="shared" si="6"/>
        <v>13.849999999999998</v>
      </c>
      <c r="G14" s="24">
        <v>60</v>
      </c>
      <c r="H14" s="24">
        <v>49</v>
      </c>
      <c r="I14" s="72">
        <f t="shared" si="1"/>
        <v>49</v>
      </c>
      <c r="J14" s="101">
        <f t="shared" si="2"/>
        <v>3.9200000000000004</v>
      </c>
      <c r="K14" s="136">
        <f t="shared" si="3"/>
        <v>0.27840909090909099</v>
      </c>
      <c r="L14" s="41"/>
      <c r="M14" s="137">
        <f>I14/$I$12</f>
        <v>0.85964912280701755</v>
      </c>
      <c r="N14" s="73"/>
      <c r="O14" s="155">
        <v>1</v>
      </c>
      <c r="P14" s="43">
        <f t="shared" si="7"/>
        <v>49</v>
      </c>
      <c r="Z14" s="40">
        <v>300</v>
      </c>
      <c r="AA14" s="40">
        <f t="shared" si="0"/>
        <v>450</v>
      </c>
    </row>
    <row r="15" spans="1:27" x14ac:dyDescent="0.25">
      <c r="A15" s="74">
        <f t="shared" si="4"/>
        <v>2000</v>
      </c>
      <c r="B15" s="231">
        <v>100</v>
      </c>
      <c r="C15" s="43">
        <v>1118</v>
      </c>
      <c r="D15" s="43">
        <v>180</v>
      </c>
      <c r="E15" s="221">
        <f t="shared" si="5"/>
        <v>22.36</v>
      </c>
      <c r="F15" s="100">
        <f t="shared" si="6"/>
        <v>22.13</v>
      </c>
      <c r="G15" s="24">
        <v>60</v>
      </c>
      <c r="H15" s="24">
        <v>41</v>
      </c>
      <c r="I15" s="72">
        <f t="shared" si="1"/>
        <v>41</v>
      </c>
      <c r="J15" s="101">
        <f t="shared" si="2"/>
        <v>6.56</v>
      </c>
      <c r="K15" s="136">
        <f t="shared" si="3"/>
        <v>0.29338103756708406</v>
      </c>
      <c r="L15" s="41"/>
      <c r="M15" s="137">
        <f>I15/$I$12</f>
        <v>0.7192982456140351</v>
      </c>
      <c r="N15" s="73"/>
      <c r="O15" s="155">
        <v>1</v>
      </c>
      <c r="P15" s="43">
        <f t="shared" si="7"/>
        <v>41</v>
      </c>
      <c r="Z15" s="40">
        <v>400</v>
      </c>
      <c r="AA15" s="40">
        <f>Z15/400*600</f>
        <v>600</v>
      </c>
    </row>
    <row r="16" spans="1:27" x14ac:dyDescent="0.25">
      <c r="A16" s="74">
        <f t="shared" si="4"/>
        <v>3000</v>
      </c>
      <c r="B16" s="231">
        <v>100</v>
      </c>
      <c r="C16" s="43">
        <v>1221</v>
      </c>
      <c r="D16" s="43">
        <v>180</v>
      </c>
      <c r="E16" s="221">
        <f t="shared" si="5"/>
        <v>24.42</v>
      </c>
      <c r="F16" s="100">
        <f t="shared" si="6"/>
        <v>24.19</v>
      </c>
      <c r="G16" s="24">
        <v>60</v>
      </c>
      <c r="H16" s="24">
        <v>33</v>
      </c>
      <c r="I16" s="72">
        <f t="shared" si="1"/>
        <v>33</v>
      </c>
      <c r="J16" s="101">
        <f t="shared" si="2"/>
        <v>7.9200000000000008</v>
      </c>
      <c r="K16" s="136">
        <f>J16/E16</f>
        <v>0.32432432432432434</v>
      </c>
      <c r="L16" s="41"/>
      <c r="M16" s="137">
        <f>I16/$I$12</f>
        <v>0.57894736842105265</v>
      </c>
      <c r="N16" s="73"/>
      <c r="O16" s="155">
        <v>1</v>
      </c>
      <c r="P16" s="43">
        <f t="shared" si="7"/>
        <v>33</v>
      </c>
    </row>
    <row r="17" spans="1:27" x14ac:dyDescent="0.25">
      <c r="A17" s="74"/>
      <c r="B17" s="74"/>
      <c r="C17" s="43"/>
      <c r="D17" s="43"/>
      <c r="E17" s="133"/>
      <c r="F17" s="100"/>
      <c r="G17" s="24"/>
      <c r="H17" s="24"/>
      <c r="I17" s="72"/>
      <c r="J17" s="101"/>
      <c r="K17" s="41"/>
      <c r="L17" s="41"/>
      <c r="M17" s="137"/>
      <c r="N17" s="73"/>
      <c r="O17" s="155"/>
      <c r="P17" s="43"/>
    </row>
    <row r="18" spans="1:27" x14ac:dyDescent="0.25">
      <c r="A18" s="74">
        <f>Q3</f>
        <v>0</v>
      </c>
      <c r="B18" s="74">
        <v>200</v>
      </c>
      <c r="C18" s="43">
        <v>588</v>
      </c>
      <c r="D18" s="43">
        <v>180</v>
      </c>
      <c r="E18" s="221">
        <f>C18/1000*3600/D18</f>
        <v>11.759999999999998</v>
      </c>
      <c r="F18" s="100">
        <f>E18-$J$7</f>
        <v>11.529999999999998</v>
      </c>
      <c r="G18" s="24">
        <v>26</v>
      </c>
      <c r="H18" s="24">
        <v>80</v>
      </c>
      <c r="I18" s="72">
        <f t="shared" ref="I18:I22" si="8">60*H18/G18</f>
        <v>184.61538461538461</v>
      </c>
      <c r="J18" s="101">
        <f t="shared" ref="J18:J23" si="9">I18/100*A18/100*0.8</f>
        <v>0</v>
      </c>
      <c r="K18" s="136">
        <f t="shared" ref="K18:K22" si="10">J18/E18</f>
        <v>0</v>
      </c>
      <c r="L18" s="41"/>
      <c r="M18" s="137"/>
      <c r="N18" s="73"/>
      <c r="O18" s="155">
        <f>B18/S$5</f>
        <v>0.66666666666666663</v>
      </c>
      <c r="P18" s="43">
        <f>I18*O18</f>
        <v>123.07692307692307</v>
      </c>
      <c r="Q18" s="69"/>
      <c r="R18" s="70"/>
      <c r="S18" s="70"/>
    </row>
    <row r="19" spans="1:27" x14ac:dyDescent="0.25">
      <c r="A19" s="74">
        <f t="shared" ref="A19:A23" si="11">Q4</f>
        <v>100</v>
      </c>
      <c r="B19" s="74">
        <v>200</v>
      </c>
      <c r="C19" s="43">
        <v>725</v>
      </c>
      <c r="D19" s="43">
        <v>180</v>
      </c>
      <c r="E19" s="221">
        <f t="shared" ref="E19:E23" si="12">C19/1000*3600/D19</f>
        <v>14.5</v>
      </c>
      <c r="F19" s="100">
        <f t="shared" ref="F19:F23" si="13">E19-$J$7</f>
        <v>14.27</v>
      </c>
      <c r="G19" s="24">
        <v>28</v>
      </c>
      <c r="H19" s="24">
        <v>80</v>
      </c>
      <c r="I19" s="72">
        <f t="shared" si="8"/>
        <v>171.42857142857142</v>
      </c>
      <c r="J19" s="101">
        <f t="shared" si="9"/>
        <v>1.3714285714285714</v>
      </c>
      <c r="K19" s="136">
        <f t="shared" si="10"/>
        <v>9.4581280788177347E-2</v>
      </c>
      <c r="L19" s="41"/>
      <c r="M19" s="137">
        <f t="shared" ref="M19:M23" si="14">I19/$I$19</f>
        <v>1</v>
      </c>
      <c r="N19" s="73"/>
      <c r="O19" s="155">
        <f>B19/S$5</f>
        <v>0.66666666666666663</v>
      </c>
      <c r="P19" s="43">
        <f t="shared" ref="P19:P23" si="15">I19*O19</f>
        <v>114.28571428571428</v>
      </c>
      <c r="Z19" s="40">
        <v>100</v>
      </c>
      <c r="AA19" s="40">
        <f t="shared" ref="AA19:AA21" si="16">Z19/400*600</f>
        <v>150</v>
      </c>
    </row>
    <row r="20" spans="1:27" x14ac:dyDescent="0.25">
      <c r="A20" s="74">
        <f t="shared" si="11"/>
        <v>500</v>
      </c>
      <c r="B20" s="74">
        <v>200</v>
      </c>
      <c r="C20" s="43">
        <v>895</v>
      </c>
      <c r="D20" s="43">
        <v>180</v>
      </c>
      <c r="E20" s="221">
        <f t="shared" si="12"/>
        <v>17.899999999999999</v>
      </c>
      <c r="F20" s="100">
        <f t="shared" si="13"/>
        <v>17.669999999999998</v>
      </c>
      <c r="G20" s="24">
        <v>30</v>
      </c>
      <c r="H20" s="24">
        <v>80</v>
      </c>
      <c r="I20" s="72">
        <f t="shared" si="8"/>
        <v>160</v>
      </c>
      <c r="J20" s="101">
        <f t="shared" si="9"/>
        <v>6.4</v>
      </c>
      <c r="K20" s="136">
        <f t="shared" si="10"/>
        <v>0.35754189944134085</v>
      </c>
      <c r="L20" s="41"/>
      <c r="M20" s="137">
        <f t="shared" si="14"/>
        <v>0.93333333333333335</v>
      </c>
      <c r="N20" s="73"/>
      <c r="O20" s="155">
        <f t="shared" ref="O20:O23" si="17">B20/S$5</f>
        <v>0.66666666666666663</v>
      </c>
      <c r="P20" s="43">
        <f t="shared" si="15"/>
        <v>106.66666666666666</v>
      </c>
      <c r="Z20" s="40">
        <v>200</v>
      </c>
      <c r="AA20" s="40">
        <f t="shared" si="16"/>
        <v>300</v>
      </c>
    </row>
    <row r="21" spans="1:27" x14ac:dyDescent="0.25">
      <c r="A21" s="74">
        <f t="shared" si="11"/>
        <v>1000</v>
      </c>
      <c r="B21" s="74">
        <v>200</v>
      </c>
      <c r="C21" s="43">
        <v>1230</v>
      </c>
      <c r="D21" s="43">
        <v>180</v>
      </c>
      <c r="E21" s="221">
        <f t="shared" si="12"/>
        <v>24.6</v>
      </c>
      <c r="F21" s="100">
        <f t="shared" si="13"/>
        <v>24.37</v>
      </c>
      <c r="G21" s="24">
        <v>32</v>
      </c>
      <c r="H21" s="24">
        <v>80</v>
      </c>
      <c r="I21" s="72">
        <f t="shared" si="8"/>
        <v>150</v>
      </c>
      <c r="J21" s="101">
        <f t="shared" si="9"/>
        <v>12</v>
      </c>
      <c r="K21" s="136">
        <f t="shared" si="10"/>
        <v>0.48780487804878048</v>
      </c>
      <c r="L21" s="41"/>
      <c r="M21" s="137">
        <f t="shared" si="14"/>
        <v>0.87500000000000011</v>
      </c>
      <c r="N21" s="73"/>
      <c r="O21" s="155">
        <f t="shared" si="17"/>
        <v>0.66666666666666663</v>
      </c>
      <c r="P21" s="43">
        <f t="shared" si="15"/>
        <v>100</v>
      </c>
      <c r="Z21" s="40">
        <v>300</v>
      </c>
      <c r="AA21" s="40">
        <f t="shared" si="16"/>
        <v>450</v>
      </c>
    </row>
    <row r="22" spans="1:27" x14ac:dyDescent="0.25">
      <c r="A22" s="74">
        <f t="shared" si="11"/>
        <v>2000</v>
      </c>
      <c r="B22" s="74">
        <v>200</v>
      </c>
      <c r="C22" s="43">
        <v>2078</v>
      </c>
      <c r="D22" s="43">
        <v>180</v>
      </c>
      <c r="E22" s="221">
        <f t="shared" si="12"/>
        <v>41.559999999999995</v>
      </c>
      <c r="F22" s="100">
        <f t="shared" si="13"/>
        <v>41.33</v>
      </c>
      <c r="G22" s="24">
        <v>38</v>
      </c>
      <c r="H22" s="24">
        <v>80</v>
      </c>
      <c r="I22" s="72">
        <f t="shared" si="8"/>
        <v>126.31578947368421</v>
      </c>
      <c r="J22" s="101">
        <f t="shared" si="9"/>
        <v>20.210526315789476</v>
      </c>
      <c r="K22" s="136">
        <f t="shared" si="10"/>
        <v>0.486297553315435</v>
      </c>
      <c r="L22" s="41"/>
      <c r="M22" s="137">
        <f t="shared" si="14"/>
        <v>0.73684210526315796</v>
      </c>
      <c r="N22" s="73"/>
      <c r="O22" s="155">
        <f t="shared" si="17"/>
        <v>0.66666666666666663</v>
      </c>
      <c r="P22" s="43">
        <f t="shared" si="15"/>
        <v>84.210526315789465</v>
      </c>
      <c r="Z22" s="40">
        <v>400</v>
      </c>
      <c r="AA22" s="40">
        <f>Z22/400*600</f>
        <v>600</v>
      </c>
    </row>
    <row r="23" spans="1:27" x14ac:dyDescent="0.25">
      <c r="A23" s="74">
        <f t="shared" si="11"/>
        <v>3000</v>
      </c>
      <c r="B23" s="74">
        <v>200</v>
      </c>
      <c r="C23" s="43">
        <v>2335</v>
      </c>
      <c r="D23" s="43">
        <v>180</v>
      </c>
      <c r="E23" s="221">
        <f t="shared" si="12"/>
        <v>46.7</v>
      </c>
      <c r="F23" s="100">
        <f t="shared" si="13"/>
        <v>46.470000000000006</v>
      </c>
      <c r="G23" s="24">
        <v>40</v>
      </c>
      <c r="H23" s="24">
        <v>80</v>
      </c>
      <c r="I23" s="72">
        <f>60*H23/G23</f>
        <v>120</v>
      </c>
      <c r="J23" s="101">
        <f t="shared" si="9"/>
        <v>28.8</v>
      </c>
      <c r="K23" s="136">
        <f>J23/E23</f>
        <v>0.61670235546038543</v>
      </c>
      <c r="L23" s="41"/>
      <c r="M23" s="137">
        <f t="shared" si="14"/>
        <v>0.70000000000000007</v>
      </c>
      <c r="N23" s="73"/>
      <c r="O23" s="155">
        <f t="shared" si="17"/>
        <v>0.66666666666666663</v>
      </c>
      <c r="P23" s="43">
        <f t="shared" si="15"/>
        <v>80</v>
      </c>
    </row>
    <row r="24" spans="1:27" x14ac:dyDescent="0.25">
      <c r="A24" s="199"/>
      <c r="B24" s="199"/>
      <c r="C24" s="43"/>
      <c r="D24" s="43"/>
      <c r="E24" s="133"/>
      <c r="F24" s="100"/>
      <c r="G24" s="24"/>
      <c r="H24" s="24"/>
      <c r="I24" s="72"/>
      <c r="J24" s="101"/>
      <c r="K24" s="41"/>
      <c r="L24" s="41"/>
      <c r="M24" s="137"/>
      <c r="N24" s="73"/>
      <c r="O24" s="43"/>
      <c r="P24" s="43"/>
    </row>
    <row r="25" spans="1:27" x14ac:dyDescent="0.25">
      <c r="A25" s="199">
        <f>Q3</f>
        <v>0</v>
      </c>
      <c r="B25" s="199">
        <f>P$5</f>
        <v>400</v>
      </c>
      <c r="C25" s="43">
        <v>699</v>
      </c>
      <c r="D25" s="43">
        <v>120</v>
      </c>
      <c r="E25" s="221">
        <f>C25/1000*3600/D25</f>
        <v>20.969999999999995</v>
      </c>
      <c r="F25" s="100">
        <f>E25-$J$7</f>
        <v>20.739999999999995</v>
      </c>
      <c r="G25" s="24">
        <v>19</v>
      </c>
      <c r="H25" s="24">
        <v>80</v>
      </c>
      <c r="I25" s="72">
        <f t="shared" ref="I25:I30" si="18">60*H25/G25</f>
        <v>252.63157894736841</v>
      </c>
      <c r="J25" s="101">
        <f t="shared" ref="J25:J30" si="19">I25/100*A25/100*0.8</f>
        <v>0</v>
      </c>
      <c r="K25" s="136">
        <f t="shared" ref="K25:K29" si="20">J25/E25</f>
        <v>0</v>
      </c>
      <c r="L25" s="41"/>
      <c r="M25" s="137"/>
      <c r="N25" s="73"/>
      <c r="O25" s="43"/>
      <c r="P25" s="43"/>
      <c r="Q25" s="69"/>
      <c r="R25" s="70"/>
      <c r="S25" s="70"/>
    </row>
    <row r="26" spans="1:27" x14ac:dyDescent="0.25">
      <c r="A26" s="199">
        <f t="shared" ref="A26:A30" si="21">Q4</f>
        <v>100</v>
      </c>
      <c r="B26" s="199">
        <f t="shared" ref="B26:B30" si="22">P$5</f>
        <v>400</v>
      </c>
      <c r="C26" s="43">
        <v>844</v>
      </c>
      <c r="D26" s="43">
        <v>120</v>
      </c>
      <c r="E26" s="221">
        <f t="shared" ref="E26:E30" si="23">C26/1000*3600/D26</f>
        <v>25.32</v>
      </c>
      <c r="F26" s="100">
        <f t="shared" ref="F26:F30" si="24">E26-$J$7</f>
        <v>25.09</v>
      </c>
      <c r="G26" s="24">
        <v>20</v>
      </c>
      <c r="H26" s="24">
        <v>80</v>
      </c>
      <c r="I26" s="72">
        <f t="shared" si="18"/>
        <v>240</v>
      </c>
      <c r="J26" s="101">
        <f t="shared" si="19"/>
        <v>1.92</v>
      </c>
      <c r="K26" s="136">
        <f t="shared" si="20"/>
        <v>7.5829383886255916E-2</v>
      </c>
      <c r="L26" s="41"/>
      <c r="M26" s="137">
        <f>I26/$I$26</f>
        <v>1</v>
      </c>
      <c r="N26" s="73"/>
      <c r="O26" s="43"/>
      <c r="P26" s="43"/>
      <c r="Z26" s="40">
        <v>100</v>
      </c>
      <c r="AA26" s="40">
        <f t="shared" ref="AA26:AA28" si="25">Z26/400*600</f>
        <v>150</v>
      </c>
    </row>
    <row r="27" spans="1:27" x14ac:dyDescent="0.25">
      <c r="A27" s="199">
        <f t="shared" si="21"/>
        <v>500</v>
      </c>
      <c r="B27" s="199">
        <f t="shared" si="22"/>
        <v>400</v>
      </c>
      <c r="C27" s="43">
        <v>1065</v>
      </c>
      <c r="D27" s="43">
        <v>120</v>
      </c>
      <c r="E27" s="221">
        <f t="shared" si="23"/>
        <v>31.95</v>
      </c>
      <c r="F27" s="100">
        <f t="shared" si="24"/>
        <v>31.72</v>
      </c>
      <c r="G27" s="24">
        <v>21</v>
      </c>
      <c r="H27" s="24">
        <v>80</v>
      </c>
      <c r="I27" s="72">
        <f t="shared" si="18"/>
        <v>228.57142857142858</v>
      </c>
      <c r="J27" s="101">
        <f t="shared" si="19"/>
        <v>9.1428571428571441</v>
      </c>
      <c r="K27" s="136">
        <f t="shared" si="20"/>
        <v>0.28616141292197633</v>
      </c>
      <c r="L27" s="41"/>
      <c r="M27" s="137">
        <f t="shared" ref="M27:M30" si="26">I27/$I$26</f>
        <v>0.95238095238095244</v>
      </c>
      <c r="N27" s="73"/>
      <c r="O27" s="43"/>
      <c r="P27" s="43"/>
      <c r="Z27" s="40">
        <v>200</v>
      </c>
      <c r="AA27" s="40">
        <f t="shared" si="25"/>
        <v>300</v>
      </c>
    </row>
    <row r="28" spans="1:27" x14ac:dyDescent="0.25">
      <c r="A28" s="199">
        <f t="shared" si="21"/>
        <v>1000</v>
      </c>
      <c r="B28" s="199">
        <f t="shared" si="22"/>
        <v>400</v>
      </c>
      <c r="C28" s="43">
        <v>1440</v>
      </c>
      <c r="D28" s="43">
        <v>120</v>
      </c>
      <c r="E28" s="221">
        <f t="shared" si="23"/>
        <v>43.2</v>
      </c>
      <c r="F28" s="100">
        <f t="shared" si="24"/>
        <v>42.970000000000006</v>
      </c>
      <c r="G28" s="24">
        <v>22</v>
      </c>
      <c r="H28" s="24">
        <v>80</v>
      </c>
      <c r="I28" s="72">
        <f t="shared" si="18"/>
        <v>218.18181818181819</v>
      </c>
      <c r="J28" s="101">
        <f t="shared" si="19"/>
        <v>17.454545454545453</v>
      </c>
      <c r="K28" s="136">
        <f t="shared" si="20"/>
        <v>0.40404040404040398</v>
      </c>
      <c r="L28" s="41"/>
      <c r="M28" s="137">
        <f t="shared" si="26"/>
        <v>0.90909090909090906</v>
      </c>
      <c r="N28" s="73"/>
      <c r="O28" s="43"/>
      <c r="P28" s="43"/>
      <c r="Z28" s="40">
        <v>300</v>
      </c>
      <c r="AA28" s="40">
        <f t="shared" si="25"/>
        <v>450</v>
      </c>
    </row>
    <row r="29" spans="1:27" x14ac:dyDescent="0.25">
      <c r="A29" s="199">
        <f t="shared" si="21"/>
        <v>2000</v>
      </c>
      <c r="B29" s="199">
        <f t="shared" si="22"/>
        <v>400</v>
      </c>
      <c r="C29" s="43">
        <v>2160</v>
      </c>
      <c r="D29" s="43">
        <v>120</v>
      </c>
      <c r="E29" s="221">
        <f t="shared" si="23"/>
        <v>64.800000000000011</v>
      </c>
      <c r="F29" s="100">
        <f t="shared" si="24"/>
        <v>64.570000000000007</v>
      </c>
      <c r="G29" s="24">
        <v>28</v>
      </c>
      <c r="H29" s="24">
        <v>80</v>
      </c>
      <c r="I29" s="72">
        <f t="shared" si="18"/>
        <v>171.42857142857142</v>
      </c>
      <c r="J29" s="101">
        <f t="shared" si="19"/>
        <v>27.428571428571431</v>
      </c>
      <c r="K29" s="136">
        <f t="shared" si="20"/>
        <v>0.42328042328042326</v>
      </c>
      <c r="L29" s="41"/>
      <c r="M29" s="137">
        <f t="shared" si="26"/>
        <v>0.71428571428571419</v>
      </c>
      <c r="N29" s="73"/>
      <c r="O29" s="43"/>
      <c r="P29" s="43"/>
      <c r="Z29" s="40">
        <v>400</v>
      </c>
      <c r="AA29" s="40">
        <f>Z29/400*600</f>
        <v>600</v>
      </c>
    </row>
    <row r="30" spans="1:27" x14ac:dyDescent="0.25">
      <c r="A30" s="199">
        <f t="shared" si="21"/>
        <v>3000</v>
      </c>
      <c r="B30" s="199">
        <f t="shared" si="22"/>
        <v>400</v>
      </c>
      <c r="C30" s="43">
        <v>2450</v>
      </c>
      <c r="D30" s="43">
        <v>120</v>
      </c>
      <c r="E30" s="221">
        <f t="shared" si="23"/>
        <v>73.5</v>
      </c>
      <c r="F30" s="100">
        <f t="shared" si="24"/>
        <v>73.27</v>
      </c>
      <c r="G30" s="24">
        <v>37</v>
      </c>
      <c r="H30" s="24">
        <v>80</v>
      </c>
      <c r="I30" s="72">
        <f t="shared" si="18"/>
        <v>129.72972972972974</v>
      </c>
      <c r="J30" s="101">
        <f t="shared" si="19"/>
        <v>31.135135135135137</v>
      </c>
      <c r="K30" s="136">
        <f>J30/E30</f>
        <v>0.42360728075013793</v>
      </c>
      <c r="L30" s="41"/>
      <c r="M30" s="137">
        <f t="shared" si="26"/>
        <v>0.54054054054054057</v>
      </c>
      <c r="N30" s="73"/>
      <c r="O30" s="43"/>
      <c r="P30" s="43"/>
    </row>
    <row r="31" spans="1:27" x14ac:dyDescent="0.25">
      <c r="A31" s="74"/>
      <c r="B31" s="199"/>
      <c r="C31" s="43"/>
      <c r="D31" s="43"/>
      <c r="E31" s="133"/>
      <c r="F31" s="100"/>
      <c r="G31" s="24"/>
      <c r="H31" s="24"/>
      <c r="I31" s="72"/>
      <c r="J31" s="101"/>
      <c r="K31" s="41"/>
      <c r="L31" s="41"/>
      <c r="M31" s="137"/>
      <c r="N31" s="73"/>
      <c r="O31" s="43"/>
      <c r="P31" s="43"/>
    </row>
    <row r="32" spans="1:27" x14ac:dyDescent="0.25">
      <c r="A32" s="199">
        <f>Q3</f>
        <v>0</v>
      </c>
      <c r="B32" s="199">
        <f>P$6</f>
        <v>600</v>
      </c>
      <c r="C32" s="43">
        <v>935</v>
      </c>
      <c r="D32" s="43">
        <v>120</v>
      </c>
      <c r="E32" s="221">
        <f>C32/1000*3600/D32</f>
        <v>28.05</v>
      </c>
      <c r="F32" s="100">
        <f>E32-$J$7</f>
        <v>27.82</v>
      </c>
      <c r="G32" s="24">
        <v>12.5</v>
      </c>
      <c r="H32" s="24">
        <v>80</v>
      </c>
      <c r="I32" s="72">
        <f t="shared" ref="I32:I37" si="27">60*H32/G32</f>
        <v>384</v>
      </c>
      <c r="J32" s="101">
        <f t="shared" ref="J32:J37" si="28">I32/100*A32/100*0.8</f>
        <v>0</v>
      </c>
      <c r="K32" s="136">
        <f t="shared" ref="K32:K36" si="29">J32/E32</f>
        <v>0</v>
      </c>
      <c r="L32" s="41"/>
      <c r="M32" s="137"/>
      <c r="N32" s="73"/>
      <c r="O32" s="43"/>
      <c r="P32" s="43"/>
      <c r="Q32" s="69"/>
      <c r="R32" s="70"/>
      <c r="S32" s="70"/>
    </row>
    <row r="33" spans="1:27" x14ac:dyDescent="0.25">
      <c r="A33" s="199">
        <f t="shared" ref="A33:A37" si="30">Q4</f>
        <v>100</v>
      </c>
      <c r="B33" s="199">
        <f t="shared" ref="B33:B37" si="31">P$6</f>
        <v>600</v>
      </c>
      <c r="C33" s="43">
        <v>1119</v>
      </c>
      <c r="D33" s="43">
        <v>120</v>
      </c>
      <c r="E33" s="221">
        <f t="shared" ref="E33:E37" si="32">C33/1000*3600/D33</f>
        <v>33.57</v>
      </c>
      <c r="F33" s="100">
        <f t="shared" ref="F33:F37" si="33">E33-$J$7</f>
        <v>33.340000000000003</v>
      </c>
      <c r="G33" s="24">
        <v>13</v>
      </c>
      <c r="H33" s="24">
        <v>80</v>
      </c>
      <c r="I33" s="72">
        <f t="shared" si="27"/>
        <v>369.23076923076923</v>
      </c>
      <c r="J33" s="101">
        <f t="shared" si="28"/>
        <v>2.953846153846154</v>
      </c>
      <c r="K33" s="136">
        <f t="shared" si="29"/>
        <v>8.7990650993331962E-2</v>
      </c>
      <c r="L33" s="41"/>
      <c r="M33" s="137">
        <f>I33/$I$33</f>
        <v>1</v>
      </c>
      <c r="N33" s="73"/>
      <c r="O33" s="43"/>
      <c r="P33" s="43"/>
      <c r="Z33" s="40">
        <v>100</v>
      </c>
      <c r="AA33" s="40">
        <f t="shared" ref="AA33:AA35" si="34">Z33/400*600</f>
        <v>150</v>
      </c>
    </row>
    <row r="34" spans="1:27" x14ac:dyDescent="0.25">
      <c r="A34" s="199">
        <f t="shared" si="30"/>
        <v>500</v>
      </c>
      <c r="B34" s="199">
        <f t="shared" si="31"/>
        <v>600</v>
      </c>
      <c r="C34" s="43">
        <v>1457</v>
      </c>
      <c r="D34" s="43">
        <v>120</v>
      </c>
      <c r="E34" s="221">
        <f t="shared" si="32"/>
        <v>43.71</v>
      </c>
      <c r="F34" s="100">
        <f t="shared" si="33"/>
        <v>43.480000000000004</v>
      </c>
      <c r="G34" s="24">
        <v>14</v>
      </c>
      <c r="H34" s="24">
        <v>80</v>
      </c>
      <c r="I34" s="72">
        <f t="shared" si="27"/>
        <v>342.85714285714283</v>
      </c>
      <c r="J34" s="101">
        <f t="shared" si="28"/>
        <v>13.714285714285715</v>
      </c>
      <c r="K34" s="136">
        <f t="shared" si="29"/>
        <v>0.31375625061280521</v>
      </c>
      <c r="L34" s="41"/>
      <c r="M34" s="137">
        <f t="shared" ref="M34:M37" si="35">I34/$I$33</f>
        <v>0.92857142857142849</v>
      </c>
      <c r="N34" s="73"/>
      <c r="O34" s="43"/>
      <c r="P34" s="43"/>
      <c r="Z34" s="40">
        <v>200</v>
      </c>
      <c r="AA34" s="40">
        <f t="shared" si="34"/>
        <v>300</v>
      </c>
    </row>
    <row r="35" spans="1:27" x14ac:dyDescent="0.25">
      <c r="A35" s="199">
        <f t="shared" si="30"/>
        <v>1000</v>
      </c>
      <c r="B35" s="199">
        <f t="shared" si="31"/>
        <v>600</v>
      </c>
      <c r="C35" s="43">
        <v>1960</v>
      </c>
      <c r="D35" s="43">
        <v>120</v>
      </c>
      <c r="E35" s="221">
        <f t="shared" si="32"/>
        <v>58.8</v>
      </c>
      <c r="F35" s="100">
        <f t="shared" si="33"/>
        <v>58.57</v>
      </c>
      <c r="G35" s="24">
        <v>15</v>
      </c>
      <c r="H35" s="24">
        <v>80</v>
      </c>
      <c r="I35" s="72">
        <f t="shared" si="27"/>
        <v>320</v>
      </c>
      <c r="J35" s="101">
        <f t="shared" si="28"/>
        <v>25.6</v>
      </c>
      <c r="K35" s="136">
        <f t="shared" si="29"/>
        <v>0.43537414965986398</v>
      </c>
      <c r="L35" s="41"/>
      <c r="M35" s="137">
        <f t="shared" si="35"/>
        <v>0.8666666666666667</v>
      </c>
      <c r="N35" s="73"/>
      <c r="O35" s="43"/>
      <c r="P35" s="43"/>
      <c r="Z35" s="40">
        <v>300</v>
      </c>
      <c r="AA35" s="40">
        <f t="shared" si="34"/>
        <v>450</v>
      </c>
    </row>
    <row r="36" spans="1:27" x14ac:dyDescent="0.25">
      <c r="A36" s="199">
        <f t="shared" si="30"/>
        <v>2000</v>
      </c>
      <c r="B36" s="199">
        <f t="shared" si="31"/>
        <v>600</v>
      </c>
      <c r="C36" s="43">
        <v>2769</v>
      </c>
      <c r="D36" s="43">
        <v>120</v>
      </c>
      <c r="E36" s="221">
        <f t="shared" si="32"/>
        <v>83.07</v>
      </c>
      <c r="F36" s="100">
        <f t="shared" si="33"/>
        <v>82.839999999999989</v>
      </c>
      <c r="G36" s="24">
        <v>19</v>
      </c>
      <c r="H36" s="24">
        <v>80</v>
      </c>
      <c r="I36" s="72">
        <f t="shared" si="27"/>
        <v>252.63157894736841</v>
      </c>
      <c r="J36" s="101">
        <f t="shared" si="28"/>
        <v>40.421052631578952</v>
      </c>
      <c r="K36" s="136">
        <f t="shared" si="29"/>
        <v>0.48659025679040513</v>
      </c>
      <c r="L36" s="41"/>
      <c r="M36" s="137">
        <f t="shared" si="35"/>
        <v>0.68421052631578949</v>
      </c>
      <c r="N36" s="73"/>
      <c r="O36" s="43"/>
      <c r="P36" s="43"/>
      <c r="Z36" s="40">
        <v>400</v>
      </c>
      <c r="AA36" s="40">
        <f>Z36/400*600</f>
        <v>600</v>
      </c>
    </row>
    <row r="37" spans="1:27" x14ac:dyDescent="0.25">
      <c r="A37" s="199">
        <f t="shared" si="30"/>
        <v>3000</v>
      </c>
      <c r="B37" s="199">
        <f t="shared" si="31"/>
        <v>600</v>
      </c>
      <c r="C37" s="43">
        <v>3215</v>
      </c>
      <c r="D37" s="43">
        <v>120</v>
      </c>
      <c r="E37" s="221">
        <f t="shared" si="32"/>
        <v>96.45</v>
      </c>
      <c r="F37" s="100">
        <f t="shared" si="33"/>
        <v>96.22</v>
      </c>
      <c r="G37" s="24">
        <v>23</v>
      </c>
      <c r="H37" s="24">
        <v>80</v>
      </c>
      <c r="I37" s="72">
        <f t="shared" si="27"/>
        <v>208.69565217391303</v>
      </c>
      <c r="J37" s="101">
        <f t="shared" si="28"/>
        <v>50.086956521739125</v>
      </c>
      <c r="K37" s="136">
        <f>J37/E37</f>
        <v>0.51930488876867931</v>
      </c>
      <c r="L37" s="41"/>
      <c r="M37" s="137">
        <f t="shared" si="35"/>
        <v>0.56521739130434778</v>
      </c>
      <c r="N37" s="73"/>
      <c r="O37" s="43"/>
      <c r="P37" s="43"/>
    </row>
    <row r="38" spans="1:27" x14ac:dyDescent="0.25">
      <c r="A38" s="199"/>
      <c r="B38" s="199"/>
      <c r="C38" s="43"/>
      <c r="D38" s="43"/>
      <c r="E38" s="133"/>
      <c r="F38" s="100"/>
      <c r="G38" s="24"/>
      <c r="H38" s="24"/>
      <c r="I38" s="72"/>
      <c r="J38" s="101"/>
      <c r="K38" s="41"/>
      <c r="L38" s="41"/>
      <c r="M38" s="137"/>
      <c r="N38" s="73"/>
      <c r="O38" s="43"/>
      <c r="P38" s="43"/>
    </row>
    <row r="39" spans="1:27" x14ac:dyDescent="0.25">
      <c r="A39" s="199">
        <f>Q3</f>
        <v>0</v>
      </c>
      <c r="B39" s="199">
        <f>P$7</f>
        <v>800</v>
      </c>
      <c r="C39" s="43">
        <v>1161</v>
      </c>
      <c r="D39" s="43">
        <v>120</v>
      </c>
      <c r="E39" s="221">
        <f>C39/1000*3600/D39</f>
        <v>34.830000000000005</v>
      </c>
      <c r="F39" s="100">
        <f>E39-$J$7</f>
        <v>34.600000000000009</v>
      </c>
      <c r="G39" s="24">
        <v>9.1999999999999993</v>
      </c>
      <c r="H39" s="24">
        <v>80</v>
      </c>
      <c r="I39" s="72">
        <f t="shared" ref="I39:I44" si="36">60*H39/G39</f>
        <v>521.73913043478262</v>
      </c>
      <c r="J39" s="101">
        <f t="shared" ref="J39:J44" si="37">I39/100*A39/100*0.8</f>
        <v>0</v>
      </c>
      <c r="K39" s="136">
        <f t="shared" ref="K39:K43" si="38">J39/E39</f>
        <v>0</v>
      </c>
      <c r="L39" s="41"/>
      <c r="M39" s="137"/>
      <c r="N39" s="73"/>
      <c r="O39" s="43"/>
      <c r="P39" s="43"/>
      <c r="Q39" s="69"/>
      <c r="R39" s="70"/>
      <c r="S39" s="70"/>
    </row>
    <row r="40" spans="1:27" x14ac:dyDescent="0.25">
      <c r="A40" s="199">
        <f t="shared" ref="A40:A44" si="39">Q4</f>
        <v>100</v>
      </c>
      <c r="B40" s="199">
        <f t="shared" ref="B40:B44" si="40">P$7</f>
        <v>800</v>
      </c>
      <c r="C40" s="43">
        <v>1420</v>
      </c>
      <c r="D40" s="43">
        <v>120</v>
      </c>
      <c r="E40" s="221">
        <f t="shared" ref="E40:E44" si="41">C40/1000*3600/D40</f>
        <v>42.6</v>
      </c>
      <c r="F40" s="100">
        <f t="shared" ref="F40:F44" si="42">E40-$J$7</f>
        <v>42.370000000000005</v>
      </c>
      <c r="G40" s="24">
        <v>9.5</v>
      </c>
      <c r="H40" s="24">
        <v>80</v>
      </c>
      <c r="I40" s="72">
        <f t="shared" si="36"/>
        <v>505.26315789473682</v>
      </c>
      <c r="J40" s="101">
        <f t="shared" si="37"/>
        <v>4.0421052631578949</v>
      </c>
      <c r="K40" s="136">
        <f t="shared" si="38"/>
        <v>9.4885100074128981E-2</v>
      </c>
      <c r="L40" s="41"/>
      <c r="M40" s="137">
        <f>I40/$I$40</f>
        <v>1</v>
      </c>
      <c r="N40" s="73"/>
      <c r="O40" s="43"/>
      <c r="P40" s="43"/>
      <c r="Z40" s="40">
        <v>100</v>
      </c>
      <c r="AA40" s="40">
        <f t="shared" ref="AA40:AA42" si="43">Z40/400*600</f>
        <v>150</v>
      </c>
    </row>
    <row r="41" spans="1:27" x14ac:dyDescent="0.25">
      <c r="A41" s="199">
        <f t="shared" si="39"/>
        <v>500</v>
      </c>
      <c r="B41" s="199">
        <f t="shared" si="40"/>
        <v>800</v>
      </c>
      <c r="C41" s="43">
        <v>1877</v>
      </c>
      <c r="D41" s="43">
        <v>120</v>
      </c>
      <c r="E41" s="221">
        <f t="shared" si="41"/>
        <v>56.309999999999995</v>
      </c>
      <c r="F41" s="100">
        <f t="shared" si="42"/>
        <v>56.08</v>
      </c>
      <c r="G41" s="24">
        <v>10</v>
      </c>
      <c r="H41" s="24">
        <v>80</v>
      </c>
      <c r="I41" s="72">
        <f t="shared" si="36"/>
        <v>480</v>
      </c>
      <c r="J41" s="101">
        <f t="shared" si="37"/>
        <v>19.200000000000003</v>
      </c>
      <c r="K41" s="136">
        <f t="shared" si="38"/>
        <v>0.34096963239211514</v>
      </c>
      <c r="L41" s="41"/>
      <c r="M41" s="137">
        <f t="shared" ref="M41:M44" si="44">I41/$I$40</f>
        <v>0.95000000000000007</v>
      </c>
      <c r="N41" s="73"/>
      <c r="O41" s="43"/>
      <c r="P41" s="43"/>
      <c r="Z41" s="40">
        <v>200</v>
      </c>
      <c r="AA41" s="40">
        <f t="shared" si="43"/>
        <v>300</v>
      </c>
    </row>
    <row r="42" spans="1:27" x14ac:dyDescent="0.25">
      <c r="A42" s="199">
        <f t="shared" si="39"/>
        <v>1000</v>
      </c>
      <c r="B42" s="199">
        <f t="shared" si="40"/>
        <v>800</v>
      </c>
      <c r="C42" s="43">
        <v>2516</v>
      </c>
      <c r="D42" s="43">
        <v>120</v>
      </c>
      <c r="E42" s="221">
        <f t="shared" si="41"/>
        <v>75.48</v>
      </c>
      <c r="F42" s="100">
        <f t="shared" si="42"/>
        <v>75.25</v>
      </c>
      <c r="G42" s="24">
        <v>11</v>
      </c>
      <c r="H42" s="24">
        <v>80</v>
      </c>
      <c r="I42" s="72">
        <f t="shared" si="36"/>
        <v>436.36363636363637</v>
      </c>
      <c r="J42" s="101">
        <f t="shared" si="37"/>
        <v>34.909090909090907</v>
      </c>
      <c r="K42" s="136">
        <f t="shared" si="38"/>
        <v>0.46249458014163891</v>
      </c>
      <c r="L42" s="41"/>
      <c r="M42" s="137">
        <f t="shared" si="44"/>
        <v>0.86363636363636365</v>
      </c>
      <c r="N42" s="73"/>
      <c r="O42" s="43"/>
      <c r="P42" s="43"/>
      <c r="Z42" s="40">
        <v>300</v>
      </c>
      <c r="AA42" s="40">
        <f t="shared" si="43"/>
        <v>450</v>
      </c>
    </row>
    <row r="43" spans="1:27" x14ac:dyDescent="0.25">
      <c r="A43" s="199">
        <f t="shared" si="39"/>
        <v>2000</v>
      </c>
      <c r="B43" s="199">
        <f t="shared" si="40"/>
        <v>800</v>
      </c>
      <c r="C43" s="43">
        <v>3466</v>
      </c>
      <c r="D43" s="43">
        <v>120</v>
      </c>
      <c r="E43" s="221">
        <f t="shared" si="41"/>
        <v>103.98</v>
      </c>
      <c r="F43" s="100">
        <f t="shared" si="42"/>
        <v>103.75</v>
      </c>
      <c r="G43" s="24">
        <v>14</v>
      </c>
      <c r="H43" s="24">
        <v>80</v>
      </c>
      <c r="I43" s="72">
        <f t="shared" si="36"/>
        <v>342.85714285714283</v>
      </c>
      <c r="J43" s="101">
        <f t="shared" si="37"/>
        <v>54.857142857142861</v>
      </c>
      <c r="K43" s="136">
        <f t="shared" si="38"/>
        <v>0.52757398400791367</v>
      </c>
      <c r="L43" s="41"/>
      <c r="M43" s="137">
        <f t="shared" si="44"/>
        <v>0.6785714285714286</v>
      </c>
      <c r="N43" s="73"/>
      <c r="O43" s="43"/>
      <c r="P43" s="43"/>
      <c r="Z43" s="40">
        <v>400</v>
      </c>
      <c r="AA43" s="40">
        <f>Z43/400*600</f>
        <v>600</v>
      </c>
    </row>
    <row r="44" spans="1:27" x14ac:dyDescent="0.25">
      <c r="A44" s="199">
        <f t="shared" si="39"/>
        <v>3000</v>
      </c>
      <c r="B44" s="199">
        <f t="shared" si="40"/>
        <v>800</v>
      </c>
      <c r="C44" s="43">
        <v>3951</v>
      </c>
      <c r="D44" s="43">
        <v>120</v>
      </c>
      <c r="E44" s="221">
        <f t="shared" si="41"/>
        <v>118.53</v>
      </c>
      <c r="F44" s="100">
        <f t="shared" si="42"/>
        <v>118.3</v>
      </c>
      <c r="G44" s="24">
        <v>18</v>
      </c>
      <c r="H44" s="24">
        <v>80</v>
      </c>
      <c r="I44" s="72">
        <f t="shared" si="36"/>
        <v>266.66666666666669</v>
      </c>
      <c r="J44" s="101">
        <f t="shared" si="37"/>
        <v>64.000000000000014</v>
      </c>
      <c r="K44" s="136">
        <f>J44/E44</f>
        <v>0.5399476925672827</v>
      </c>
      <c r="L44" s="41"/>
      <c r="M44" s="137">
        <f t="shared" si="44"/>
        <v>0.52777777777777779</v>
      </c>
      <c r="N44" s="73"/>
      <c r="O44" s="43"/>
      <c r="P44" s="43"/>
    </row>
    <row r="45" spans="1:27" x14ac:dyDescent="0.25">
      <c r="A45" s="74"/>
      <c r="B45" s="199"/>
      <c r="C45" s="43"/>
      <c r="D45" s="43"/>
      <c r="E45" s="133"/>
      <c r="F45" s="100"/>
      <c r="G45" s="24"/>
      <c r="H45" s="24"/>
      <c r="I45" s="72"/>
      <c r="J45" s="101"/>
      <c r="K45" s="41"/>
      <c r="L45" s="41"/>
      <c r="M45" s="137"/>
      <c r="N45" s="73"/>
      <c r="O45" s="43"/>
      <c r="P45" s="43"/>
    </row>
    <row r="46" spans="1:27" x14ac:dyDescent="0.25">
      <c r="A46" s="199">
        <f>Q3</f>
        <v>0</v>
      </c>
      <c r="B46" s="199">
        <f>P$8</f>
        <v>1000</v>
      </c>
      <c r="C46" s="43">
        <v>705</v>
      </c>
      <c r="D46" s="43">
        <v>60</v>
      </c>
      <c r="E46" s="221">
        <f>C46/1000*3600/D46</f>
        <v>42.3</v>
      </c>
      <c r="F46" s="100">
        <f>E46-$J$7</f>
        <v>42.07</v>
      </c>
      <c r="G46" s="24">
        <v>7.7</v>
      </c>
      <c r="H46" s="24">
        <v>80</v>
      </c>
      <c r="I46" s="72">
        <f t="shared" ref="I46:I51" si="45">60*H46/G46</f>
        <v>623.37662337662334</v>
      </c>
      <c r="J46" s="101">
        <f t="shared" ref="J46:J51" si="46">I46/100*A46/100*0.8</f>
        <v>0</v>
      </c>
      <c r="K46" s="136">
        <f t="shared" ref="K46:K50" si="47">J46/E46</f>
        <v>0</v>
      </c>
      <c r="L46" s="41"/>
      <c r="M46" s="137"/>
      <c r="N46" s="73"/>
      <c r="O46" s="43"/>
      <c r="P46" s="43"/>
      <c r="Q46" s="69"/>
      <c r="R46" s="70"/>
      <c r="S46" s="70"/>
    </row>
    <row r="47" spans="1:27" x14ac:dyDescent="0.25">
      <c r="A47" s="199">
        <f t="shared" ref="A47:A51" si="48">Q4</f>
        <v>100</v>
      </c>
      <c r="B47" s="199">
        <f t="shared" ref="B47:B51" si="49">P$8</f>
        <v>1000</v>
      </c>
      <c r="C47" s="43">
        <v>872</v>
      </c>
      <c r="D47" s="43">
        <v>60</v>
      </c>
      <c r="E47" s="221">
        <f t="shared" ref="E47:E51" si="50">C47/1000*3600/D47</f>
        <v>52.32</v>
      </c>
      <c r="F47" s="100">
        <f t="shared" ref="F47:F51" si="51">E47-$J$7</f>
        <v>52.09</v>
      </c>
      <c r="G47" s="24">
        <v>8</v>
      </c>
      <c r="H47" s="24">
        <v>80</v>
      </c>
      <c r="I47" s="72">
        <f t="shared" si="45"/>
        <v>600</v>
      </c>
      <c r="J47" s="101">
        <f t="shared" si="46"/>
        <v>4.8000000000000007</v>
      </c>
      <c r="K47" s="136">
        <f t="shared" si="47"/>
        <v>9.1743119266055065E-2</v>
      </c>
      <c r="L47" s="41"/>
      <c r="M47" s="137">
        <f>I47/$I$47</f>
        <v>1</v>
      </c>
      <c r="N47" s="73"/>
      <c r="O47" s="43"/>
      <c r="P47" s="43"/>
      <c r="Z47" s="40">
        <v>100</v>
      </c>
      <c r="AA47" s="40">
        <f t="shared" ref="AA47:AA49" si="52">Z47/400*600</f>
        <v>150</v>
      </c>
    </row>
    <row r="48" spans="1:27" x14ac:dyDescent="0.25">
      <c r="A48" s="199">
        <f t="shared" si="48"/>
        <v>500</v>
      </c>
      <c r="B48" s="199">
        <f t="shared" si="49"/>
        <v>1000</v>
      </c>
      <c r="C48" s="43">
        <v>1150</v>
      </c>
      <c r="D48" s="43">
        <v>60</v>
      </c>
      <c r="E48" s="221">
        <f t="shared" si="50"/>
        <v>69</v>
      </c>
      <c r="F48" s="100">
        <f t="shared" si="51"/>
        <v>68.77</v>
      </c>
      <c r="G48" s="24">
        <v>8.5</v>
      </c>
      <c r="H48" s="24">
        <v>80</v>
      </c>
      <c r="I48" s="72">
        <f t="shared" si="45"/>
        <v>564.70588235294122</v>
      </c>
      <c r="J48" s="101">
        <f t="shared" si="46"/>
        <v>22.588235294117649</v>
      </c>
      <c r="K48" s="136">
        <f t="shared" si="47"/>
        <v>0.32736572890025578</v>
      </c>
      <c r="L48" s="41"/>
      <c r="M48" s="137">
        <f t="shared" ref="M48:M51" si="53">I48/$I$47</f>
        <v>0.94117647058823539</v>
      </c>
      <c r="N48" s="73"/>
      <c r="O48" s="43"/>
      <c r="P48" s="43"/>
      <c r="Z48" s="40">
        <v>200</v>
      </c>
      <c r="AA48" s="40">
        <f t="shared" si="52"/>
        <v>300</v>
      </c>
    </row>
    <row r="49" spans="1:27" x14ac:dyDescent="0.25">
      <c r="A49" s="199">
        <f t="shared" si="48"/>
        <v>1000</v>
      </c>
      <c r="B49" s="199">
        <f t="shared" si="49"/>
        <v>1000</v>
      </c>
      <c r="C49" s="43">
        <v>1541</v>
      </c>
      <c r="D49" s="43">
        <v>60</v>
      </c>
      <c r="E49" s="221">
        <f t="shared" si="50"/>
        <v>92.46</v>
      </c>
      <c r="F49" s="100">
        <f t="shared" si="51"/>
        <v>92.22999999999999</v>
      </c>
      <c r="G49" s="24">
        <v>9</v>
      </c>
      <c r="H49" s="24">
        <v>80</v>
      </c>
      <c r="I49" s="72">
        <f t="shared" si="45"/>
        <v>533.33333333333337</v>
      </c>
      <c r="J49" s="101">
        <f t="shared" si="46"/>
        <v>42.666666666666679</v>
      </c>
      <c r="K49" s="136">
        <f t="shared" si="47"/>
        <v>0.46146081188261606</v>
      </c>
      <c r="L49" s="41"/>
      <c r="M49" s="137">
        <f t="shared" si="53"/>
        <v>0.88888888888888895</v>
      </c>
      <c r="N49" s="73"/>
      <c r="O49" s="43"/>
      <c r="P49" s="43"/>
      <c r="Z49" s="40">
        <v>300</v>
      </c>
      <c r="AA49" s="40">
        <f t="shared" si="52"/>
        <v>450</v>
      </c>
    </row>
    <row r="50" spans="1:27" x14ac:dyDescent="0.25">
      <c r="A50" s="199">
        <f t="shared" si="48"/>
        <v>2000</v>
      </c>
      <c r="B50" s="199">
        <f t="shared" si="49"/>
        <v>1000</v>
      </c>
      <c r="C50" s="43">
        <v>2110</v>
      </c>
      <c r="D50" s="43">
        <v>60</v>
      </c>
      <c r="E50" s="221">
        <f t="shared" si="50"/>
        <v>126.6</v>
      </c>
      <c r="F50" s="100">
        <f t="shared" si="51"/>
        <v>126.36999999999999</v>
      </c>
      <c r="G50" s="24">
        <v>11</v>
      </c>
      <c r="H50" s="24">
        <v>80</v>
      </c>
      <c r="I50" s="72">
        <f t="shared" si="45"/>
        <v>436.36363636363637</v>
      </c>
      <c r="J50" s="101">
        <f t="shared" si="46"/>
        <v>69.818181818181813</v>
      </c>
      <c r="K50" s="136">
        <f t="shared" si="47"/>
        <v>0.55148642826367944</v>
      </c>
      <c r="L50" s="41"/>
      <c r="M50" s="137">
        <f t="shared" si="53"/>
        <v>0.72727272727272729</v>
      </c>
      <c r="N50" s="73"/>
      <c r="O50" s="43"/>
      <c r="P50" s="43"/>
      <c r="Z50" s="40">
        <v>400</v>
      </c>
      <c r="AA50" s="40">
        <f>Z50/400*600</f>
        <v>600</v>
      </c>
    </row>
    <row r="51" spans="1:27" x14ac:dyDescent="0.25">
      <c r="A51" s="199">
        <f t="shared" si="48"/>
        <v>3000</v>
      </c>
      <c r="B51" s="199">
        <f t="shared" si="49"/>
        <v>1000</v>
      </c>
      <c r="C51" s="43">
        <v>2432</v>
      </c>
      <c r="D51" s="43">
        <v>60</v>
      </c>
      <c r="E51" s="221">
        <f t="shared" si="50"/>
        <v>145.91999999999999</v>
      </c>
      <c r="F51" s="100">
        <f t="shared" si="51"/>
        <v>145.69</v>
      </c>
      <c r="G51" s="24">
        <v>14</v>
      </c>
      <c r="H51" s="24">
        <v>80</v>
      </c>
      <c r="I51" s="72">
        <f t="shared" si="45"/>
        <v>342.85714285714283</v>
      </c>
      <c r="J51" s="101">
        <f t="shared" si="46"/>
        <v>82.285714285714278</v>
      </c>
      <c r="K51" s="136">
        <f>J51/E51</f>
        <v>0.56390977443609025</v>
      </c>
      <c r="L51" s="41"/>
      <c r="M51" s="137">
        <f t="shared" si="53"/>
        <v>0.5714285714285714</v>
      </c>
      <c r="N51" s="73"/>
      <c r="O51" s="43"/>
      <c r="P51" s="43"/>
    </row>
    <row r="52" spans="1:27" x14ac:dyDescent="0.25">
      <c r="A52" s="43"/>
      <c r="B52" s="199"/>
      <c r="C52" s="41"/>
      <c r="D52" s="41"/>
      <c r="E52" s="41"/>
      <c r="F52" s="75"/>
      <c r="G52" s="41"/>
      <c r="H52" s="43"/>
      <c r="I52" s="76"/>
      <c r="J52" s="71"/>
      <c r="K52" s="41"/>
      <c r="L52" s="41"/>
      <c r="M52" s="137"/>
      <c r="N52" s="73"/>
      <c r="O52" s="43"/>
      <c r="P52" s="43"/>
    </row>
    <row r="53" spans="1:27" x14ac:dyDescent="0.25">
      <c r="A53" s="43"/>
      <c r="B53" s="74"/>
      <c r="C53" s="41"/>
      <c r="D53" s="41"/>
      <c r="E53" s="41"/>
      <c r="F53" s="41"/>
      <c r="G53" s="41"/>
      <c r="H53" s="43"/>
      <c r="I53" s="76"/>
      <c r="J53" s="71"/>
      <c r="K53" s="41"/>
      <c r="L53" s="41"/>
      <c r="M53" s="137"/>
      <c r="N53" s="73"/>
      <c r="O53" s="43"/>
      <c r="P53" s="43"/>
    </row>
    <row r="54" spans="1:27" x14ac:dyDescent="0.25">
      <c r="A54" s="43"/>
      <c r="B54" s="199"/>
      <c r="C54" s="41"/>
      <c r="D54" s="41"/>
      <c r="E54" s="41"/>
      <c r="F54" s="41"/>
      <c r="G54" s="41"/>
      <c r="H54" s="43"/>
      <c r="I54" s="76"/>
      <c r="J54" s="71"/>
      <c r="K54" s="41"/>
      <c r="L54" s="41"/>
      <c r="M54" s="137"/>
      <c r="N54" s="73"/>
      <c r="O54" s="43"/>
      <c r="P54" s="43"/>
    </row>
    <row r="55" spans="1:27" x14ac:dyDescent="0.25">
      <c r="A55" s="47"/>
      <c r="B55" s="199"/>
      <c r="C55" s="41"/>
      <c r="D55" s="41"/>
      <c r="E55" s="41"/>
      <c r="F55" s="41"/>
      <c r="G55" s="41"/>
      <c r="H55" s="43"/>
      <c r="I55" s="76"/>
      <c r="J55" s="71"/>
      <c r="K55" s="41"/>
      <c r="L55" s="41"/>
      <c r="M55" s="137"/>
      <c r="N55" s="73"/>
      <c r="O55" s="43"/>
      <c r="P55" s="43"/>
    </row>
    <row r="56" spans="1:27" x14ac:dyDescent="0.25">
      <c r="A56" s="71"/>
      <c r="B56" s="74"/>
      <c r="C56" s="41"/>
      <c r="D56" s="41"/>
      <c r="E56" s="41"/>
      <c r="F56" s="41"/>
      <c r="G56" s="41"/>
      <c r="H56" s="43"/>
      <c r="I56" s="76"/>
      <c r="J56" s="71"/>
      <c r="K56" s="41"/>
      <c r="L56" s="41"/>
      <c r="M56" s="137"/>
      <c r="N56" s="73"/>
      <c r="O56" s="43"/>
      <c r="P56" s="43"/>
    </row>
    <row r="57" spans="1:27" x14ac:dyDescent="0.25">
      <c r="A57" s="47"/>
      <c r="B57" s="199"/>
      <c r="C57" s="41"/>
      <c r="D57" s="41"/>
      <c r="E57" s="41"/>
      <c r="F57" s="41"/>
      <c r="G57" s="41"/>
      <c r="H57" s="43"/>
      <c r="I57" s="43"/>
      <c r="J57" s="47"/>
      <c r="K57" s="41"/>
      <c r="L57" s="41"/>
      <c r="M57" s="137"/>
      <c r="N57" s="73"/>
      <c r="O57" s="43"/>
      <c r="P57" s="43"/>
    </row>
    <row r="58" spans="1:27" x14ac:dyDescent="0.25">
      <c r="A58" s="47"/>
      <c r="B58" s="199"/>
      <c r="C58" s="41"/>
      <c r="D58" s="41"/>
      <c r="E58" s="41"/>
      <c r="F58" s="41"/>
      <c r="G58" s="136"/>
      <c r="H58" s="43"/>
      <c r="I58" s="43"/>
      <c r="J58" s="47"/>
      <c r="K58" s="41"/>
      <c r="L58" s="41"/>
      <c r="M58" s="137"/>
      <c r="N58" s="73"/>
      <c r="O58" s="43"/>
      <c r="P58" s="43"/>
    </row>
    <row r="59" spans="1:27" x14ac:dyDescent="0.25">
      <c r="A59" s="47"/>
      <c r="B59" s="199"/>
      <c r="C59" s="41"/>
      <c r="D59" s="41"/>
      <c r="E59" s="41"/>
      <c r="F59" s="41"/>
      <c r="G59" s="41"/>
      <c r="H59" s="43"/>
      <c r="I59" s="43"/>
      <c r="J59" s="47"/>
      <c r="K59" s="41"/>
      <c r="L59" s="41"/>
      <c r="M59" s="137"/>
      <c r="N59" s="73"/>
      <c r="O59" s="43"/>
      <c r="P59" s="43"/>
    </row>
    <row r="60" spans="1:27" x14ac:dyDescent="0.25">
      <c r="A60" s="47"/>
      <c r="B60" s="199"/>
      <c r="C60" s="41"/>
      <c r="D60" s="41"/>
      <c r="E60" s="41"/>
      <c r="F60" s="41"/>
      <c r="G60" s="41"/>
      <c r="H60" s="43"/>
      <c r="I60" s="43"/>
      <c r="J60" s="47"/>
      <c r="K60" s="41"/>
      <c r="L60" s="41"/>
      <c r="M60" s="137"/>
      <c r="N60" s="73"/>
      <c r="O60" s="43"/>
      <c r="P60" s="43"/>
    </row>
    <row r="61" spans="1:27" x14ac:dyDescent="0.25">
      <c r="A61" s="47"/>
      <c r="B61" s="199"/>
      <c r="C61" s="41"/>
      <c r="D61" s="41"/>
      <c r="E61" s="41"/>
      <c r="F61" s="41"/>
      <c r="G61" s="41"/>
      <c r="H61" s="43"/>
      <c r="I61" s="43"/>
      <c r="J61" s="47"/>
      <c r="K61" s="41"/>
      <c r="L61" s="41"/>
      <c r="M61" s="137"/>
      <c r="N61" s="73"/>
      <c r="O61" s="43"/>
      <c r="P61" s="43"/>
    </row>
    <row r="63" spans="1:27" x14ac:dyDescent="0.25">
      <c r="L63" s="80" t="s">
        <v>17</v>
      </c>
      <c r="M63" s="125"/>
      <c r="N63" s="123" t="s">
        <v>228</v>
      </c>
    </row>
    <row r="64" spans="1:27" x14ac:dyDescent="0.25">
      <c r="K64" s="79" t="s">
        <v>176</v>
      </c>
      <c r="L64" s="81">
        <f>B11</f>
        <v>100</v>
      </c>
      <c r="M64" s="80">
        <f>B18</f>
        <v>200</v>
      </c>
      <c r="N64" s="80">
        <f>B25</f>
        <v>400</v>
      </c>
      <c r="O64" s="80">
        <f>B32</f>
        <v>600</v>
      </c>
      <c r="P64" s="80">
        <f>B39</f>
        <v>800</v>
      </c>
      <c r="Q64" s="80">
        <f>B46</f>
        <v>1000</v>
      </c>
    </row>
    <row r="65" spans="1:18" x14ac:dyDescent="0.25">
      <c r="K65" s="82">
        <f>Q3</f>
        <v>0</v>
      </c>
      <c r="L65" s="140">
        <f>P11</f>
        <v>62</v>
      </c>
      <c r="M65" s="93">
        <f>P18</f>
        <v>123.07692307692307</v>
      </c>
      <c r="N65" s="93">
        <f>I25</f>
        <v>252.63157894736841</v>
      </c>
      <c r="O65" s="93">
        <f>I32</f>
        <v>384</v>
      </c>
      <c r="P65" s="93">
        <f>I39</f>
        <v>521.73913043478262</v>
      </c>
      <c r="Q65" s="93">
        <f>I46</f>
        <v>623.37662337662334</v>
      </c>
    </row>
    <row r="66" spans="1:18" x14ac:dyDescent="0.25">
      <c r="K66" s="82">
        <f t="shared" ref="K66:K70" si="54">Q4</f>
        <v>100</v>
      </c>
      <c r="L66" s="140">
        <f t="shared" ref="L66:L70" si="55">P12</f>
        <v>57</v>
      </c>
      <c r="M66" s="93">
        <f t="shared" ref="M66:M70" si="56">P19</f>
        <v>114.28571428571428</v>
      </c>
      <c r="N66" s="93">
        <f t="shared" ref="N66:N70" si="57">I26</f>
        <v>240</v>
      </c>
      <c r="O66" s="93">
        <f t="shared" ref="O66:O70" si="58">I33</f>
        <v>369.23076923076923</v>
      </c>
      <c r="P66" s="93">
        <f t="shared" ref="P66:P70" si="59">I40</f>
        <v>505.26315789473682</v>
      </c>
      <c r="Q66" s="93">
        <f t="shared" ref="Q66:Q70" si="60">I47</f>
        <v>600</v>
      </c>
    </row>
    <row r="67" spans="1:18" x14ac:dyDescent="0.25">
      <c r="K67" s="82">
        <f t="shared" si="54"/>
        <v>500</v>
      </c>
      <c r="L67" s="140">
        <f t="shared" si="55"/>
        <v>53</v>
      </c>
      <c r="M67" s="93">
        <f t="shared" si="56"/>
        <v>106.66666666666666</v>
      </c>
      <c r="N67" s="93">
        <f t="shared" si="57"/>
        <v>228.57142857142858</v>
      </c>
      <c r="O67" s="93">
        <f t="shared" si="58"/>
        <v>342.85714285714283</v>
      </c>
      <c r="P67" s="93">
        <f t="shared" si="59"/>
        <v>480</v>
      </c>
      <c r="Q67" s="93">
        <f t="shared" si="60"/>
        <v>564.70588235294122</v>
      </c>
    </row>
    <row r="68" spans="1:18" x14ac:dyDescent="0.25">
      <c r="K68" s="82">
        <f t="shared" si="54"/>
        <v>1000</v>
      </c>
      <c r="L68" s="140">
        <f t="shared" si="55"/>
        <v>49</v>
      </c>
      <c r="M68" s="93">
        <f t="shared" si="56"/>
        <v>100</v>
      </c>
      <c r="N68" s="93">
        <f t="shared" si="57"/>
        <v>218.18181818181819</v>
      </c>
      <c r="O68" s="93">
        <f t="shared" si="58"/>
        <v>320</v>
      </c>
      <c r="P68" s="93">
        <f t="shared" si="59"/>
        <v>436.36363636363637</v>
      </c>
      <c r="Q68" s="93">
        <f t="shared" si="60"/>
        <v>533.33333333333337</v>
      </c>
    </row>
    <row r="69" spans="1:18" x14ac:dyDescent="0.25">
      <c r="K69" s="82">
        <f t="shared" si="54"/>
        <v>2000</v>
      </c>
      <c r="L69" s="140">
        <f t="shared" si="55"/>
        <v>41</v>
      </c>
      <c r="M69" s="93">
        <f t="shared" si="56"/>
        <v>84.210526315789465</v>
      </c>
      <c r="N69" s="93">
        <f t="shared" si="57"/>
        <v>171.42857142857142</v>
      </c>
      <c r="O69" s="93">
        <f t="shared" si="58"/>
        <v>252.63157894736841</v>
      </c>
      <c r="P69" s="93">
        <f t="shared" si="59"/>
        <v>342.85714285714283</v>
      </c>
      <c r="Q69" s="93">
        <f t="shared" si="60"/>
        <v>436.36363636363637</v>
      </c>
    </row>
    <row r="70" spans="1:18" x14ac:dyDescent="0.25">
      <c r="K70" s="82">
        <f t="shared" si="54"/>
        <v>3000</v>
      </c>
      <c r="L70" s="140">
        <f t="shared" si="55"/>
        <v>33</v>
      </c>
      <c r="M70" s="93">
        <f t="shared" si="56"/>
        <v>80</v>
      </c>
      <c r="N70" s="93">
        <f t="shared" si="57"/>
        <v>129.72972972972974</v>
      </c>
      <c r="O70" s="93">
        <f t="shared" si="58"/>
        <v>208.69565217391303</v>
      </c>
      <c r="P70" s="93">
        <f t="shared" si="59"/>
        <v>266.66666666666669</v>
      </c>
      <c r="Q70" s="93">
        <f t="shared" si="60"/>
        <v>342.85714285714283</v>
      </c>
    </row>
    <row r="71" spans="1:18" x14ac:dyDescent="0.25">
      <c r="K71" s="83"/>
      <c r="M71" s="125"/>
    </row>
    <row r="72" spans="1:18" x14ac:dyDescent="0.25">
      <c r="K72" s="123">
        <f>B80</f>
        <v>2040</v>
      </c>
      <c r="L72" s="40">
        <f t="shared" ref="L72:Q72" si="61">_xlfn.FORECAST.LINEAR($B$80,L65:L70,$K$65:$K$70)</f>
        <v>40.800666666666665</v>
      </c>
      <c r="M72" s="40">
        <f t="shared" si="61"/>
        <v>88.497875825093857</v>
      </c>
      <c r="N72" s="40">
        <f t="shared" si="61"/>
        <v>169.68310773423553</v>
      </c>
      <c r="O72" s="40">
        <f t="shared" si="61"/>
        <v>258.45572371444615</v>
      </c>
      <c r="P72" s="40">
        <f t="shared" si="61"/>
        <v>345.50447928592416</v>
      </c>
      <c r="Q72" s="40">
        <f t="shared" si="61"/>
        <v>431.67385742175657</v>
      </c>
      <c r="R72" s="123" t="s">
        <v>25</v>
      </c>
    </row>
    <row r="73" spans="1:18" x14ac:dyDescent="0.25">
      <c r="J73" s="123" t="s">
        <v>25</v>
      </c>
      <c r="K73" s="94">
        <f>B79</f>
        <v>9.463519999999999</v>
      </c>
      <c r="L73" s="95">
        <f>_xlfn.FORECAST.LINEAR(K73,L64:Q64,L72:Q72)</f>
        <v>24.594114222501883</v>
      </c>
      <c r="M73" s="125" t="s">
        <v>17</v>
      </c>
    </row>
    <row r="77" spans="1:18" x14ac:dyDescent="0.25">
      <c r="A77" s="49" t="s">
        <v>229</v>
      </c>
      <c r="B77" s="77">
        <v>1670</v>
      </c>
      <c r="C77" s="40" t="s">
        <v>25</v>
      </c>
      <c r="M77" s="125"/>
    </row>
    <row r="78" spans="1:18" x14ac:dyDescent="0.25">
      <c r="B78" s="77">
        <v>1000</v>
      </c>
      <c r="C78" s="40" t="s">
        <v>17</v>
      </c>
      <c r="M78" s="125"/>
    </row>
    <row r="79" spans="1:18" x14ac:dyDescent="0.25">
      <c r="A79" s="40" t="s">
        <v>230</v>
      </c>
      <c r="B79" s="78">
        <f>Q</f>
        <v>9.463519999999999</v>
      </c>
      <c r="C79" s="40" t="s">
        <v>25</v>
      </c>
      <c r="M79" s="125"/>
    </row>
    <row r="80" spans="1:18" x14ac:dyDescent="0.25">
      <c r="A80" s="40" t="s">
        <v>231</v>
      </c>
      <c r="B80" s="78">
        <f>Pavg</f>
        <v>2040</v>
      </c>
      <c r="C80" s="40">
        <v>1000</v>
      </c>
      <c r="D80" s="40" t="s">
        <v>232</v>
      </c>
      <c r="M80" s="125"/>
    </row>
    <row r="81" spans="1:16" x14ac:dyDescent="0.25">
      <c r="A81" s="40" t="s">
        <v>233</v>
      </c>
      <c r="B81" s="77">
        <v>0</v>
      </c>
      <c r="C81" s="40" t="s">
        <v>234</v>
      </c>
      <c r="E81" s="40" t="s">
        <v>235</v>
      </c>
    </row>
    <row r="82" spans="1:16" x14ac:dyDescent="0.25">
      <c r="A82" s="40" t="s">
        <v>236</v>
      </c>
      <c r="B82" s="77">
        <f>L73</f>
        <v>24.594114222501883</v>
      </c>
      <c r="M82" s="250">
        <v>100</v>
      </c>
      <c r="N82" s="251"/>
      <c r="O82" s="40">
        <v>200</v>
      </c>
    </row>
    <row r="83" spans="1:16" x14ac:dyDescent="0.25">
      <c r="A83" s="40" t="s">
        <v>237</v>
      </c>
      <c r="B83" s="77">
        <f>(1+(B80/C80*B81))*B82</f>
        <v>24.594114222501883</v>
      </c>
      <c r="M83" s="254" t="s">
        <v>373</v>
      </c>
      <c r="N83" s="253" t="s">
        <v>372</v>
      </c>
      <c r="O83" s="253" t="s">
        <v>373</v>
      </c>
      <c r="P83" s="253" t="s">
        <v>372</v>
      </c>
    </row>
    <row r="84" spans="1:16" x14ac:dyDescent="0.25">
      <c r="A84" s="40" t="s">
        <v>238</v>
      </c>
      <c r="M84" s="251">
        <f>C87</f>
        <v>7.9699999999999989</v>
      </c>
      <c r="N84" s="252">
        <f>L65</f>
        <v>62</v>
      </c>
      <c r="O84" s="40">
        <f>D87</f>
        <v>11.529999999999998</v>
      </c>
      <c r="P84" s="249">
        <f>M65</f>
        <v>123.07692307692307</v>
      </c>
    </row>
    <row r="85" spans="1:16" x14ac:dyDescent="0.25">
      <c r="A85" s="79" t="s">
        <v>176</v>
      </c>
      <c r="E85" s="123" t="s">
        <v>239</v>
      </c>
      <c r="H85" s="40" t="s">
        <v>240</v>
      </c>
      <c r="M85" s="251">
        <f t="shared" ref="M85:M89" si="62">C88</f>
        <v>9.82</v>
      </c>
      <c r="N85" s="252">
        <f t="shared" ref="N85:N89" si="63">L66</f>
        <v>57</v>
      </c>
      <c r="O85" s="40">
        <f t="shared" ref="O85:O89" si="64">D88</f>
        <v>14.5</v>
      </c>
      <c r="P85" s="249">
        <f t="shared" ref="P85:P89" si="65">M66</f>
        <v>114.28571428571428</v>
      </c>
    </row>
    <row r="86" spans="1:16" x14ac:dyDescent="0.25">
      <c r="A86" s="80" t="s">
        <v>17</v>
      </c>
      <c r="B86" s="77">
        <v>0.1</v>
      </c>
      <c r="C86" s="81">
        <f>B11</f>
        <v>100</v>
      </c>
      <c r="D86" s="80">
        <f>B18</f>
        <v>200</v>
      </c>
      <c r="E86" s="80">
        <f>B25</f>
        <v>400</v>
      </c>
      <c r="F86" s="80">
        <f>B32</f>
        <v>600</v>
      </c>
      <c r="G86" s="80">
        <f>B39</f>
        <v>800</v>
      </c>
      <c r="H86" s="80">
        <f>B46</f>
        <v>1000</v>
      </c>
      <c r="I86" s="40">
        <f>H86*10</f>
        <v>10000</v>
      </c>
      <c r="M86" s="251">
        <f t="shared" si="62"/>
        <v>11.6</v>
      </c>
      <c r="N86" s="252">
        <f t="shared" si="63"/>
        <v>53</v>
      </c>
      <c r="O86" s="40">
        <f t="shared" si="64"/>
        <v>17.899999999999999</v>
      </c>
      <c r="P86" s="249">
        <f t="shared" si="65"/>
        <v>106.66666666666666</v>
      </c>
    </row>
    <row r="87" spans="1:16" x14ac:dyDescent="0.25">
      <c r="A87" s="82">
        <f>Q3</f>
        <v>0</v>
      </c>
      <c r="B87" s="77">
        <f>$J$7</f>
        <v>0.22999999999999998</v>
      </c>
      <c r="C87" s="41">
        <f>F11</f>
        <v>7.9699999999999989</v>
      </c>
      <c r="D87" s="43">
        <f>F18</f>
        <v>11.529999999999998</v>
      </c>
      <c r="E87" s="43">
        <f t="shared" ref="E87:E92" si="66">F25</f>
        <v>20.739999999999995</v>
      </c>
      <c r="F87" s="43">
        <f t="shared" ref="F87:F92" si="67">F32</f>
        <v>27.82</v>
      </c>
      <c r="G87" s="43">
        <f t="shared" ref="G87:G92" si="68">F39</f>
        <v>34.600000000000009</v>
      </c>
      <c r="H87" s="43">
        <f t="shared" ref="H87:H92" si="69">F46</f>
        <v>42.07</v>
      </c>
      <c r="I87" s="40">
        <f t="shared" ref="I87:I92" si="70">H87*10</f>
        <v>420.7</v>
      </c>
      <c r="J87" s="94">
        <f t="shared" ref="J87:J92" ca="1" si="71">_xlfn.FORECAST.LINEAR(__RPM1,OFFSET(B87:H87,0,MATCH(__RPM1,$B$86:$H$86,1)-1,1,2),OFFSET($B$86:$H$86,0,MATCH(__RPM1,$B$86:$H$86,1)-1,1,2))</f>
        <v>2.127742183004651</v>
      </c>
      <c r="M87" s="251">
        <f t="shared" si="62"/>
        <v>14.079999999999998</v>
      </c>
      <c r="N87" s="252">
        <f t="shared" si="63"/>
        <v>49</v>
      </c>
      <c r="O87" s="40">
        <f t="shared" si="64"/>
        <v>24.6</v>
      </c>
      <c r="P87" s="249">
        <f t="shared" si="65"/>
        <v>100</v>
      </c>
    </row>
    <row r="88" spans="1:16" x14ac:dyDescent="0.25">
      <c r="A88" s="82">
        <f t="shared" ref="A88:A91" si="72">Q4</f>
        <v>100</v>
      </c>
      <c r="B88" s="77">
        <f t="shared" ref="B88:B92" si="73">$J$7</f>
        <v>0.22999999999999998</v>
      </c>
      <c r="C88" s="41">
        <f>E12</f>
        <v>9.82</v>
      </c>
      <c r="D88" s="43">
        <f>E19</f>
        <v>14.5</v>
      </c>
      <c r="E88" s="43">
        <f t="shared" si="66"/>
        <v>25.09</v>
      </c>
      <c r="F88" s="43">
        <f t="shared" si="67"/>
        <v>33.340000000000003</v>
      </c>
      <c r="G88" s="43">
        <f t="shared" si="68"/>
        <v>42.370000000000005</v>
      </c>
      <c r="H88" s="43">
        <f t="shared" si="69"/>
        <v>52.09</v>
      </c>
      <c r="I88" s="40">
        <f t="shared" si="70"/>
        <v>520.90000000000009</v>
      </c>
      <c r="J88" s="94">
        <f t="shared" ca="1" si="71"/>
        <v>2.5813368908287604</v>
      </c>
      <c r="M88" s="251">
        <f t="shared" si="62"/>
        <v>22.36</v>
      </c>
      <c r="N88" s="252">
        <f t="shared" si="63"/>
        <v>41</v>
      </c>
      <c r="O88" s="40">
        <f t="shared" si="64"/>
        <v>41.559999999999995</v>
      </c>
      <c r="P88" s="249">
        <f t="shared" si="65"/>
        <v>84.210526315789465</v>
      </c>
    </row>
    <row r="89" spans="1:16" x14ac:dyDescent="0.25">
      <c r="A89" s="82">
        <f t="shared" si="72"/>
        <v>500</v>
      </c>
      <c r="B89" s="77">
        <f t="shared" si="73"/>
        <v>0.22999999999999998</v>
      </c>
      <c r="C89" s="41">
        <f>E13</f>
        <v>11.6</v>
      </c>
      <c r="D89" s="43">
        <f>E20</f>
        <v>17.899999999999999</v>
      </c>
      <c r="E89" s="43">
        <f t="shared" si="66"/>
        <v>31.72</v>
      </c>
      <c r="F89" s="43">
        <f t="shared" si="67"/>
        <v>43.480000000000004</v>
      </c>
      <c r="G89" s="43">
        <f t="shared" si="68"/>
        <v>56.08</v>
      </c>
      <c r="H89" s="43">
        <f t="shared" si="69"/>
        <v>68.77</v>
      </c>
      <c r="I89" s="40">
        <f t="shared" si="70"/>
        <v>687.69999999999993</v>
      </c>
      <c r="J89" s="94">
        <f t="shared" ca="1" si="71"/>
        <v>3.0177685556541185</v>
      </c>
      <c r="M89" s="251">
        <f t="shared" si="62"/>
        <v>24.42</v>
      </c>
      <c r="N89" s="252">
        <f t="shared" si="63"/>
        <v>33</v>
      </c>
      <c r="O89" s="40">
        <f t="shared" si="64"/>
        <v>46.7</v>
      </c>
      <c r="P89" s="249">
        <f t="shared" si="65"/>
        <v>80</v>
      </c>
    </row>
    <row r="90" spans="1:16" x14ac:dyDescent="0.25">
      <c r="A90" s="82">
        <f t="shared" si="72"/>
        <v>1000</v>
      </c>
      <c r="B90" s="77">
        <f t="shared" si="73"/>
        <v>0.22999999999999998</v>
      </c>
      <c r="C90" s="41">
        <f>E14</f>
        <v>14.079999999999998</v>
      </c>
      <c r="D90" s="43">
        <f>E21</f>
        <v>24.6</v>
      </c>
      <c r="E90" s="43">
        <f t="shared" si="66"/>
        <v>42.970000000000006</v>
      </c>
      <c r="F90" s="43">
        <f t="shared" si="67"/>
        <v>58.57</v>
      </c>
      <c r="G90" s="43">
        <f t="shared" si="68"/>
        <v>75.25</v>
      </c>
      <c r="H90" s="43">
        <f t="shared" si="69"/>
        <v>92.22999999999999</v>
      </c>
      <c r="I90" s="40">
        <f t="shared" si="70"/>
        <v>922.3</v>
      </c>
      <c r="J90" s="94">
        <f t="shared" ca="1" si="71"/>
        <v>3.6258306504669777</v>
      </c>
      <c r="M90" s="251"/>
      <c r="N90" s="251"/>
    </row>
    <row r="91" spans="1:16" x14ac:dyDescent="0.25">
      <c r="A91" s="82">
        <f t="shared" si="72"/>
        <v>2000</v>
      </c>
      <c r="B91" s="77">
        <f t="shared" si="73"/>
        <v>0.22999999999999998</v>
      </c>
      <c r="C91" s="41">
        <f>E15</f>
        <v>22.36</v>
      </c>
      <c r="D91" s="43">
        <f>E22</f>
        <v>41.559999999999995</v>
      </c>
      <c r="E91" s="43">
        <f t="shared" si="66"/>
        <v>64.570000000000007</v>
      </c>
      <c r="F91" s="43">
        <f t="shared" si="67"/>
        <v>82.839999999999989</v>
      </c>
      <c r="G91" s="43">
        <f t="shared" si="68"/>
        <v>103.75</v>
      </c>
      <c r="H91" s="43">
        <f t="shared" si="69"/>
        <v>126.36999999999999</v>
      </c>
      <c r="I91" s="40">
        <f t="shared" si="70"/>
        <v>1263.6999999999998</v>
      </c>
      <c r="J91" s="94">
        <f t="shared" ca="1" si="71"/>
        <v>5.6559734508905581</v>
      </c>
    </row>
    <row r="92" spans="1:16" x14ac:dyDescent="0.25">
      <c r="A92" s="82">
        <f>Q8+0.1</f>
        <v>3000.1</v>
      </c>
      <c r="B92" s="77">
        <f t="shared" si="73"/>
        <v>0.22999999999999998</v>
      </c>
      <c r="C92" s="41">
        <f>E16</f>
        <v>24.42</v>
      </c>
      <c r="D92" s="43">
        <f>E23</f>
        <v>46.7</v>
      </c>
      <c r="E92" s="43">
        <f t="shared" si="66"/>
        <v>73.27</v>
      </c>
      <c r="F92" s="43">
        <f t="shared" si="67"/>
        <v>96.22</v>
      </c>
      <c r="G92" s="43">
        <f t="shared" si="68"/>
        <v>118.3</v>
      </c>
      <c r="H92" s="43">
        <f t="shared" si="69"/>
        <v>145.69</v>
      </c>
      <c r="I92" s="40">
        <f t="shared" si="70"/>
        <v>1456.9</v>
      </c>
      <c r="J92" s="94">
        <f t="shared" ca="1" si="71"/>
        <v>6.1610572877109187</v>
      </c>
    </row>
    <row r="95" spans="1:16" x14ac:dyDescent="0.25">
      <c r="A95" s="40" t="s">
        <v>241</v>
      </c>
      <c r="B95" s="84">
        <f>B83</f>
        <v>24.594114222501883</v>
      </c>
      <c r="C95" s="40" t="s">
        <v>17</v>
      </c>
    </row>
    <row r="96" spans="1:16" x14ac:dyDescent="0.25">
      <c r="A96" s="40" t="s">
        <v>242</v>
      </c>
      <c r="B96" s="84">
        <f>B80</f>
        <v>2040</v>
      </c>
      <c r="C96" s="40" t="s">
        <v>165</v>
      </c>
    </row>
    <row r="97" spans="1:3" x14ac:dyDescent="0.25">
      <c r="A97" s="40" t="s">
        <v>243</v>
      </c>
      <c r="B97" s="85">
        <f ca="1">_xlfn.FORECAST.LINEAR(Press1,OFFSET(J87:J92,MATCH(Press1,A87:A92,1)-1,0,2),OFFSET(A87:A92,MATCH(Press1,A87:A92,1)-1,0,2))</f>
        <v>5.6761747842300387</v>
      </c>
      <c r="C97" s="40" t="s">
        <v>18</v>
      </c>
    </row>
  </sheetData>
  <mergeCells count="3">
    <mergeCell ref="C9:E9"/>
    <mergeCell ref="F9:H9"/>
    <mergeCell ref="L9:N9"/>
  </mergeCells>
  <pageMargins left="0.70866141732283472" right="0.70866141732283472" top="0.74803149606299213" bottom="0.74803149606299213" header="0.31496062992125984" footer="0.31496062992125984"/>
  <pageSetup scale="63" orientation="landscape" r:id="rId1"/>
  <rowBreaks count="1" manualBreakCount="1">
    <brk id="54" max="1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81278-5612-4116-BC59-925F0FF9A63A}">
  <sheetPr>
    <tabColor rgb="FFFF0000"/>
  </sheetPr>
  <dimension ref="A1:AA97"/>
  <sheetViews>
    <sheetView topLeftCell="A22" workbookViewId="0">
      <selection activeCell="I18" sqref="I18"/>
    </sheetView>
  </sheetViews>
  <sheetFormatPr defaultColWidth="9.140625" defaultRowHeight="15" x14ac:dyDescent="0.25"/>
  <cols>
    <col min="1" max="1" width="14.7109375" style="40" customWidth="1"/>
    <col min="2" max="2" width="11.28515625" style="77" customWidth="1"/>
    <col min="3" max="3" width="12.42578125" style="40" customWidth="1"/>
    <col min="4" max="4" width="19.140625" style="40" customWidth="1"/>
    <col min="5" max="5" width="13.7109375" style="40" customWidth="1"/>
    <col min="6" max="6" width="14.85546875" style="40" customWidth="1"/>
    <col min="7" max="7" width="13.140625" style="40" customWidth="1"/>
    <col min="8" max="8" width="9.140625" style="40"/>
    <col min="9" max="9" width="12.140625" style="40" customWidth="1"/>
    <col min="10" max="10" width="10.5703125" style="40" customWidth="1"/>
    <col min="11" max="11" width="12" style="40" customWidth="1"/>
    <col min="12" max="12" width="9.140625" style="40" customWidth="1"/>
    <col min="13" max="13" width="9.140625" style="44"/>
    <col min="14" max="15" width="9.140625" style="40"/>
    <col min="16" max="16" width="9.5703125" style="40" bestFit="1" customWidth="1"/>
    <col min="17" max="16384" width="9.140625" style="40"/>
  </cols>
  <sheetData>
    <row r="1" spans="1:27" x14ac:dyDescent="0.25">
      <c r="B1" s="41" t="s">
        <v>195</v>
      </c>
      <c r="C1" s="42">
        <v>44371</v>
      </c>
      <c r="D1" s="213" t="s">
        <v>344</v>
      </c>
      <c r="E1" s="43"/>
      <c r="F1" s="43"/>
      <c r="M1" s="125"/>
    </row>
    <row r="2" spans="1:27" ht="21" x14ac:dyDescent="0.35">
      <c r="A2" s="45" t="s">
        <v>343</v>
      </c>
      <c r="B2" s="46"/>
      <c r="C2" s="45"/>
      <c r="D2" s="45"/>
      <c r="E2" s="45"/>
      <c r="F2" s="45"/>
      <c r="G2" s="45"/>
      <c r="H2" s="45"/>
      <c r="I2" s="45"/>
      <c r="J2" s="45"/>
      <c r="K2" s="45"/>
      <c r="L2" s="45"/>
      <c r="M2" s="40"/>
      <c r="P2" s="47" t="s">
        <v>198</v>
      </c>
      <c r="Q2" s="49" t="s">
        <v>199</v>
      </c>
    </row>
    <row r="3" spans="1:27" x14ac:dyDescent="0.25">
      <c r="A3" s="47" t="s">
        <v>200</v>
      </c>
      <c r="B3" s="199"/>
      <c r="C3" s="47" t="s">
        <v>250</v>
      </c>
      <c r="D3" s="47"/>
      <c r="E3" s="47"/>
      <c r="F3" s="47"/>
      <c r="G3" s="48"/>
      <c r="H3" s="43"/>
      <c r="I3" s="49"/>
      <c r="K3" s="49"/>
      <c r="L3" s="49"/>
      <c r="M3" s="40"/>
      <c r="P3" s="47">
        <f>1000*0.1</f>
        <v>100</v>
      </c>
      <c r="Q3" s="49">
        <v>0</v>
      </c>
    </row>
    <row r="4" spans="1:27" x14ac:dyDescent="0.25">
      <c r="A4" s="199" t="s">
        <v>204</v>
      </c>
      <c r="B4" s="199"/>
      <c r="C4" s="199">
        <v>0.312</v>
      </c>
      <c r="D4" s="199"/>
      <c r="E4" s="199"/>
      <c r="F4" s="199"/>
      <c r="G4" s="51" t="s">
        <v>205</v>
      </c>
      <c r="H4" s="222" t="s">
        <v>355</v>
      </c>
      <c r="I4" s="223"/>
      <c r="J4" s="224" t="s">
        <v>18</v>
      </c>
      <c r="K4" s="225"/>
      <c r="L4" s="224"/>
      <c r="M4" s="226"/>
      <c r="N4" s="223"/>
      <c r="O4" s="47"/>
      <c r="P4" s="47">
        <f>1000*0.2</f>
        <v>200</v>
      </c>
      <c r="Q4" s="49">
        <v>500</v>
      </c>
      <c r="S4" s="154" t="s">
        <v>255</v>
      </c>
    </row>
    <row r="5" spans="1:27" x14ac:dyDescent="0.25">
      <c r="A5" s="199" t="s">
        <v>206</v>
      </c>
      <c r="B5" s="199"/>
      <c r="C5" s="199">
        <v>25.7</v>
      </c>
      <c r="D5" s="199"/>
      <c r="E5" s="199"/>
      <c r="F5" s="199"/>
      <c r="G5" s="52" t="s">
        <v>207</v>
      </c>
      <c r="H5" s="227">
        <v>73.5</v>
      </c>
      <c r="I5" s="225"/>
      <c r="J5" s="223">
        <f>H5/1000*25</f>
        <v>1.8374999999999999</v>
      </c>
      <c r="K5" s="228" t="s">
        <v>357</v>
      </c>
      <c r="L5" s="223"/>
      <c r="M5" s="226"/>
      <c r="N5" s="223"/>
      <c r="O5" s="47"/>
      <c r="P5" s="47">
        <f>1000*0.4</f>
        <v>400</v>
      </c>
      <c r="Q5" s="49">
        <v>1000</v>
      </c>
      <c r="S5" s="40">
        <v>300</v>
      </c>
    </row>
    <row r="6" spans="1:27" x14ac:dyDescent="0.25">
      <c r="A6" s="199" t="s">
        <v>208</v>
      </c>
      <c r="B6" s="199"/>
      <c r="C6" s="199">
        <f>0.15-0.014</f>
        <v>0.13599999999999998</v>
      </c>
      <c r="D6" s="199"/>
      <c r="E6" s="199"/>
      <c r="F6" s="199"/>
      <c r="G6" s="51" t="s">
        <v>209</v>
      </c>
      <c r="H6" s="227">
        <v>64.3</v>
      </c>
      <c r="I6" s="225"/>
      <c r="J6" s="223">
        <f>H6/1000*25</f>
        <v>1.6074999999999999</v>
      </c>
      <c r="K6" s="228" t="s">
        <v>357</v>
      </c>
      <c r="L6" s="223"/>
      <c r="M6" s="226"/>
      <c r="N6" s="223"/>
      <c r="O6" s="47"/>
      <c r="P6" s="47">
        <f>1000*0.6</f>
        <v>600</v>
      </c>
      <c r="Q6" s="49">
        <v>3000</v>
      </c>
    </row>
    <row r="7" spans="1:27" x14ac:dyDescent="0.25">
      <c r="A7" s="53" t="s">
        <v>210</v>
      </c>
      <c r="B7" s="199"/>
      <c r="C7" s="199" t="s">
        <v>354</v>
      </c>
      <c r="D7" s="199"/>
      <c r="E7" s="199"/>
      <c r="F7" s="199"/>
      <c r="H7" s="223"/>
      <c r="I7" s="223" t="s">
        <v>212</v>
      </c>
      <c r="J7" s="224">
        <f>J5-J6</f>
        <v>0.22999999999999998</v>
      </c>
      <c r="K7" s="224" t="s">
        <v>18</v>
      </c>
      <c r="L7" s="228" t="s">
        <v>356</v>
      </c>
      <c r="M7" s="226"/>
      <c r="N7" s="223"/>
      <c r="O7" s="47"/>
      <c r="P7" s="47">
        <f>1000*0.8</f>
        <v>800</v>
      </c>
      <c r="Q7" s="49">
        <v>4000</v>
      </c>
    </row>
    <row r="8" spans="1:27" ht="15.75" thickBot="1" x14ac:dyDescent="0.3">
      <c r="A8" s="53" t="s">
        <v>213</v>
      </c>
      <c r="B8" s="199"/>
      <c r="C8" s="148" t="s">
        <v>346</v>
      </c>
      <c r="D8" s="53"/>
      <c r="E8" s="53"/>
      <c r="F8" s="53"/>
      <c r="G8" s="40" t="s">
        <v>215</v>
      </c>
      <c r="J8" s="50"/>
      <c r="K8" s="50"/>
      <c r="L8" s="50"/>
      <c r="M8" s="151"/>
      <c r="O8" s="54"/>
      <c r="P8" s="54">
        <v>1000</v>
      </c>
      <c r="Q8" s="49">
        <v>5000</v>
      </c>
    </row>
    <row r="9" spans="1:27" x14ac:dyDescent="0.25">
      <c r="A9" s="47" t="s">
        <v>176</v>
      </c>
      <c r="C9" s="285" t="s">
        <v>216</v>
      </c>
      <c r="D9" s="286"/>
      <c r="E9" s="287"/>
      <c r="F9" s="288" t="s">
        <v>217</v>
      </c>
      <c r="G9" s="288"/>
      <c r="H9" s="288"/>
      <c r="I9" s="55" t="s">
        <v>256</v>
      </c>
      <c r="J9" s="56" t="s">
        <v>218</v>
      </c>
      <c r="K9" s="57" t="s">
        <v>219</v>
      </c>
      <c r="L9" s="289"/>
      <c r="M9" s="290"/>
      <c r="N9" s="290"/>
      <c r="O9" s="58"/>
      <c r="P9" s="156"/>
      <c r="Z9" s="40">
        <v>10</v>
      </c>
      <c r="AA9" s="40">
        <f t="shared" ref="AA9:AA14" si="0">Z9/400*600</f>
        <v>15</v>
      </c>
    </row>
    <row r="10" spans="1:27" ht="15.75" thickBot="1" x14ac:dyDescent="0.3">
      <c r="A10" s="199" t="s">
        <v>220</v>
      </c>
      <c r="B10" s="199" t="s">
        <v>17</v>
      </c>
      <c r="C10" s="53" t="s">
        <v>202</v>
      </c>
      <c r="D10" s="50" t="s">
        <v>221</v>
      </c>
      <c r="E10" s="61" t="s">
        <v>18</v>
      </c>
      <c r="F10" s="62" t="s">
        <v>222</v>
      </c>
      <c r="G10" s="53" t="s">
        <v>223</v>
      </c>
      <c r="H10" s="53" t="s">
        <v>224</v>
      </c>
      <c r="I10" s="64" t="s">
        <v>225</v>
      </c>
      <c r="J10" s="60" t="s">
        <v>18</v>
      </c>
      <c r="K10" s="63" t="s">
        <v>226</v>
      </c>
      <c r="L10" s="63"/>
      <c r="M10" s="65" t="s">
        <v>227</v>
      </c>
      <c r="N10" s="66"/>
      <c r="O10" s="153"/>
      <c r="P10" s="68"/>
      <c r="Q10" s="69"/>
      <c r="R10" s="70"/>
      <c r="S10" s="70"/>
      <c r="Z10" s="40">
        <v>50</v>
      </c>
      <c r="AA10" s="40">
        <f t="shared" si="0"/>
        <v>75</v>
      </c>
    </row>
    <row r="11" spans="1:27" x14ac:dyDescent="0.25">
      <c r="A11" s="74">
        <f>Q3</f>
        <v>0</v>
      </c>
      <c r="B11" s="199">
        <f>P$3</f>
        <v>100</v>
      </c>
      <c r="C11" s="43">
        <v>370</v>
      </c>
      <c r="D11" s="43">
        <v>180</v>
      </c>
      <c r="E11" s="221">
        <f>C11/1000*3600/D11</f>
        <v>7.4</v>
      </c>
      <c r="F11" s="100">
        <f>E11-$J$7</f>
        <v>7.17</v>
      </c>
      <c r="G11" s="24">
        <v>60</v>
      </c>
      <c r="H11" s="24">
        <v>44</v>
      </c>
      <c r="I11" s="72">
        <f t="shared" ref="I11:I16" si="1">60*H11/G11</f>
        <v>44</v>
      </c>
      <c r="J11" s="101">
        <f t="shared" ref="J11:J16" si="2">I11/100*A11/100*0.8</f>
        <v>0</v>
      </c>
      <c r="K11" s="136">
        <f t="shared" ref="K11:K15" si="3">J11/E11</f>
        <v>0</v>
      </c>
      <c r="L11" s="41"/>
      <c r="M11" s="137"/>
      <c r="N11" s="73"/>
      <c r="O11" s="155"/>
      <c r="P11" s="93"/>
      <c r="Q11" s="69"/>
      <c r="R11" s="70"/>
      <c r="S11" s="70"/>
    </row>
    <row r="12" spans="1:27" x14ac:dyDescent="0.25">
      <c r="A12" s="74">
        <f t="shared" ref="A12:A16" si="4">Q4</f>
        <v>500</v>
      </c>
      <c r="B12" s="199">
        <f t="shared" ref="B12:B16" si="5">P$3</f>
        <v>100</v>
      </c>
      <c r="C12" s="43">
        <v>479</v>
      </c>
      <c r="D12" s="43">
        <v>180</v>
      </c>
      <c r="E12" s="221">
        <f t="shared" ref="E12:E16" si="6">C12/1000*3600/D12</f>
        <v>9.58</v>
      </c>
      <c r="F12" s="100">
        <f t="shared" ref="F12:F16" si="7">E12-$J$7</f>
        <v>9.35</v>
      </c>
      <c r="G12" s="24">
        <v>60</v>
      </c>
      <c r="H12" s="24">
        <v>40</v>
      </c>
      <c r="I12" s="72">
        <f t="shared" si="1"/>
        <v>40</v>
      </c>
      <c r="J12" s="101">
        <f t="shared" si="2"/>
        <v>1.6</v>
      </c>
      <c r="K12" s="136">
        <f t="shared" si="3"/>
        <v>0.16701461377870563</v>
      </c>
      <c r="L12" s="41"/>
      <c r="M12" s="137">
        <f>I12/$I$12</f>
        <v>1</v>
      </c>
      <c r="N12" s="73"/>
      <c r="O12" s="155"/>
      <c r="P12" s="93"/>
      <c r="Z12" s="40">
        <v>100</v>
      </c>
      <c r="AA12" s="40">
        <f t="shared" si="0"/>
        <v>150</v>
      </c>
    </row>
    <row r="13" spans="1:27" x14ac:dyDescent="0.25">
      <c r="A13" s="74">
        <f t="shared" si="4"/>
        <v>1000</v>
      </c>
      <c r="B13" s="199">
        <f t="shared" si="5"/>
        <v>100</v>
      </c>
      <c r="C13" s="43">
        <v>600</v>
      </c>
      <c r="D13" s="43">
        <v>180</v>
      </c>
      <c r="E13" s="221">
        <f t="shared" si="6"/>
        <v>12</v>
      </c>
      <c r="F13" s="100">
        <f t="shared" si="7"/>
        <v>11.77</v>
      </c>
      <c r="G13" s="24">
        <v>60</v>
      </c>
      <c r="H13" s="24">
        <v>37</v>
      </c>
      <c r="I13" s="72">
        <f t="shared" si="1"/>
        <v>37</v>
      </c>
      <c r="J13" s="101">
        <f t="shared" si="2"/>
        <v>2.9600000000000004</v>
      </c>
      <c r="K13" s="136">
        <f t="shared" si="3"/>
        <v>0.2466666666666667</v>
      </c>
      <c r="L13" s="41"/>
      <c r="M13" s="137">
        <f>I13/$I$12</f>
        <v>0.92500000000000004</v>
      </c>
      <c r="N13" s="73"/>
      <c r="O13" s="155"/>
      <c r="P13" s="93"/>
      <c r="Z13" s="40">
        <v>200</v>
      </c>
      <c r="AA13" s="40">
        <f t="shared" si="0"/>
        <v>300</v>
      </c>
    </row>
    <row r="14" spans="1:27" x14ac:dyDescent="0.25">
      <c r="A14" s="74">
        <f t="shared" si="4"/>
        <v>3000</v>
      </c>
      <c r="B14" s="199">
        <f t="shared" si="5"/>
        <v>100</v>
      </c>
      <c r="C14" s="43">
        <v>1050</v>
      </c>
      <c r="D14" s="43">
        <v>180</v>
      </c>
      <c r="E14" s="221">
        <f t="shared" si="6"/>
        <v>21</v>
      </c>
      <c r="F14" s="100">
        <f t="shared" si="7"/>
        <v>20.77</v>
      </c>
      <c r="G14" s="24">
        <v>60</v>
      </c>
      <c r="H14" s="24">
        <v>30</v>
      </c>
      <c r="I14" s="72">
        <f t="shared" si="1"/>
        <v>30</v>
      </c>
      <c r="J14" s="101">
        <f t="shared" si="2"/>
        <v>7.2</v>
      </c>
      <c r="K14" s="136">
        <f t="shared" si="3"/>
        <v>0.34285714285714286</v>
      </c>
      <c r="L14" s="41"/>
      <c r="M14" s="137">
        <f>I14/$I$12</f>
        <v>0.75</v>
      </c>
      <c r="N14" s="73"/>
      <c r="O14" s="155"/>
      <c r="P14" s="93"/>
      <c r="Z14" s="40">
        <v>300</v>
      </c>
      <c r="AA14" s="40">
        <f t="shared" si="0"/>
        <v>450</v>
      </c>
    </row>
    <row r="15" spans="1:27" x14ac:dyDescent="0.25">
      <c r="A15" s="74">
        <f t="shared" si="4"/>
        <v>4000</v>
      </c>
      <c r="B15" s="199">
        <f t="shared" si="5"/>
        <v>100</v>
      </c>
      <c r="C15" s="43">
        <v>1255</v>
      </c>
      <c r="D15" s="43">
        <v>180</v>
      </c>
      <c r="E15" s="221">
        <f t="shared" si="6"/>
        <v>25.1</v>
      </c>
      <c r="F15" s="100">
        <f t="shared" si="7"/>
        <v>24.87</v>
      </c>
      <c r="G15" s="24">
        <v>60</v>
      </c>
      <c r="H15" s="24">
        <v>26</v>
      </c>
      <c r="I15" s="72">
        <f t="shared" si="1"/>
        <v>26</v>
      </c>
      <c r="J15" s="101">
        <f t="shared" si="2"/>
        <v>8.32</v>
      </c>
      <c r="K15" s="136">
        <f t="shared" si="3"/>
        <v>0.33147410358565738</v>
      </c>
      <c r="L15" s="41"/>
      <c r="M15" s="137">
        <f>I15/$I$12</f>
        <v>0.65</v>
      </c>
      <c r="N15" s="73"/>
      <c r="O15" s="155"/>
      <c r="P15" s="93"/>
      <c r="Z15" s="40">
        <v>400</v>
      </c>
      <c r="AA15" s="40">
        <f>Z15/400*600</f>
        <v>600</v>
      </c>
    </row>
    <row r="16" spans="1:27" x14ac:dyDescent="0.25">
      <c r="A16" s="74">
        <f t="shared" si="4"/>
        <v>5000</v>
      </c>
      <c r="B16" s="199">
        <f t="shared" si="5"/>
        <v>100</v>
      </c>
      <c r="C16" s="43">
        <v>1318</v>
      </c>
      <c r="D16" s="43">
        <v>180</v>
      </c>
      <c r="E16" s="221">
        <f t="shared" si="6"/>
        <v>26.36</v>
      </c>
      <c r="F16" s="100">
        <f t="shared" si="7"/>
        <v>26.13</v>
      </c>
      <c r="G16" s="24">
        <v>60</v>
      </c>
      <c r="H16" s="24">
        <v>23</v>
      </c>
      <c r="I16" s="72">
        <f t="shared" si="1"/>
        <v>23</v>
      </c>
      <c r="J16" s="101">
        <f t="shared" si="2"/>
        <v>9.2000000000000011</v>
      </c>
      <c r="K16" s="136">
        <f>J16/E16</f>
        <v>0.34901365705614573</v>
      </c>
      <c r="L16" s="41"/>
      <c r="M16" s="137">
        <f>I16/$I$12</f>
        <v>0.57499999999999996</v>
      </c>
      <c r="N16" s="73"/>
      <c r="O16" s="155"/>
      <c r="P16" s="93"/>
    </row>
    <row r="17" spans="1:27" x14ac:dyDescent="0.25">
      <c r="A17" s="74"/>
      <c r="B17" s="74"/>
      <c r="D17" s="43"/>
      <c r="E17" s="133"/>
      <c r="F17" s="100"/>
      <c r="G17" s="24"/>
      <c r="H17" s="24"/>
      <c r="I17" s="72"/>
      <c r="J17" s="101"/>
      <c r="K17" s="41"/>
      <c r="L17" s="41"/>
      <c r="M17" s="137"/>
      <c r="N17" s="73"/>
      <c r="O17" s="155"/>
      <c r="P17" s="93"/>
    </row>
    <row r="18" spans="1:27" x14ac:dyDescent="0.25">
      <c r="A18" s="74">
        <f>Q3</f>
        <v>0</v>
      </c>
      <c r="B18" s="74">
        <f>P$4</f>
        <v>200</v>
      </c>
      <c r="C18" s="43">
        <v>434</v>
      </c>
      <c r="D18" s="43">
        <v>180</v>
      </c>
      <c r="E18" s="221">
        <f>C18/1000*3600/D18</f>
        <v>8.68</v>
      </c>
      <c r="F18" s="100">
        <f t="shared" ref="F18:F23" si="8">E18-$J$7</f>
        <v>8.4499999999999993</v>
      </c>
      <c r="G18" s="24">
        <v>60</v>
      </c>
      <c r="H18" s="24">
        <v>87</v>
      </c>
      <c r="I18" s="72">
        <f t="shared" ref="I18:I22" si="9">60*H18/G18</f>
        <v>87</v>
      </c>
      <c r="J18" s="101">
        <f t="shared" ref="J18:J23" si="10">I18/100*A18/100*0.8</f>
        <v>0</v>
      </c>
      <c r="K18" s="136">
        <f t="shared" ref="K18:K22" si="11">J18/E18</f>
        <v>0</v>
      </c>
      <c r="L18" s="41"/>
      <c r="M18" s="137"/>
      <c r="N18" s="73"/>
      <c r="O18" s="155"/>
      <c r="P18" s="93"/>
      <c r="Q18" s="69"/>
      <c r="R18" s="70"/>
      <c r="S18" s="70"/>
    </row>
    <row r="19" spans="1:27" x14ac:dyDescent="0.25">
      <c r="A19" s="74">
        <f t="shared" ref="A19:A23" si="12">Q4</f>
        <v>500</v>
      </c>
      <c r="B19" s="74">
        <f t="shared" ref="B19:B23" si="13">P$4</f>
        <v>200</v>
      </c>
      <c r="C19" s="43">
        <v>684</v>
      </c>
      <c r="D19" s="43">
        <v>180</v>
      </c>
      <c r="E19" s="221">
        <f t="shared" ref="E19:E23" si="14">C19/1000*3600/D19</f>
        <v>13.68</v>
      </c>
      <c r="F19" s="100">
        <f t="shared" si="8"/>
        <v>13.45</v>
      </c>
      <c r="G19" s="24">
        <v>60</v>
      </c>
      <c r="H19" s="24">
        <v>78</v>
      </c>
      <c r="I19" s="72">
        <f t="shared" si="9"/>
        <v>78</v>
      </c>
      <c r="J19" s="101">
        <f t="shared" si="10"/>
        <v>3.12</v>
      </c>
      <c r="K19" s="136">
        <f t="shared" si="11"/>
        <v>0.22807017543859651</v>
      </c>
      <c r="L19" s="41"/>
      <c r="M19" s="137">
        <f t="shared" ref="M19:M23" si="15">I19/$I$19</f>
        <v>1</v>
      </c>
      <c r="N19" s="73"/>
      <c r="O19" s="155"/>
      <c r="P19" s="93"/>
      <c r="Z19" s="40">
        <v>100</v>
      </c>
      <c r="AA19" s="40">
        <f t="shared" ref="AA19:AA21" si="16">Z19/400*600</f>
        <v>150</v>
      </c>
    </row>
    <row r="20" spans="1:27" x14ac:dyDescent="0.25">
      <c r="A20" s="74">
        <f t="shared" si="12"/>
        <v>1000</v>
      </c>
      <c r="B20" s="74">
        <f t="shared" si="13"/>
        <v>200</v>
      </c>
      <c r="C20" s="43">
        <v>938</v>
      </c>
      <c r="D20" s="43">
        <v>180</v>
      </c>
      <c r="E20" s="221">
        <f t="shared" si="14"/>
        <v>18.759999999999998</v>
      </c>
      <c r="F20" s="100">
        <f t="shared" si="8"/>
        <v>18.529999999999998</v>
      </c>
      <c r="G20" s="24">
        <v>60</v>
      </c>
      <c r="H20" s="24">
        <v>73</v>
      </c>
      <c r="I20" s="72">
        <f t="shared" si="9"/>
        <v>73</v>
      </c>
      <c r="J20" s="101">
        <f t="shared" si="10"/>
        <v>5.84</v>
      </c>
      <c r="K20" s="136">
        <f t="shared" si="11"/>
        <v>0.31130063965884863</v>
      </c>
      <c r="L20" s="41"/>
      <c r="M20" s="137">
        <f t="shared" si="15"/>
        <v>0.9358974358974359</v>
      </c>
      <c r="N20" s="73"/>
      <c r="O20" s="155"/>
      <c r="P20" s="93"/>
      <c r="Z20" s="40">
        <v>200</v>
      </c>
      <c r="AA20" s="40">
        <f t="shared" si="16"/>
        <v>300</v>
      </c>
    </row>
    <row r="21" spans="1:27" x14ac:dyDescent="0.25">
      <c r="A21" s="74">
        <f t="shared" si="12"/>
        <v>3000</v>
      </c>
      <c r="B21" s="74">
        <f t="shared" si="13"/>
        <v>200</v>
      </c>
      <c r="C21" s="43">
        <v>2066</v>
      </c>
      <c r="D21" s="43">
        <v>180</v>
      </c>
      <c r="E21" s="221">
        <f t="shared" si="14"/>
        <v>41.32</v>
      </c>
      <c r="F21" s="100">
        <f t="shared" si="8"/>
        <v>41.09</v>
      </c>
      <c r="G21" s="24">
        <v>60</v>
      </c>
      <c r="H21" s="24">
        <v>62</v>
      </c>
      <c r="I21" s="72">
        <f t="shared" si="9"/>
        <v>62</v>
      </c>
      <c r="J21" s="101">
        <f t="shared" si="10"/>
        <v>14.880000000000003</v>
      </c>
      <c r="K21" s="136">
        <f t="shared" si="11"/>
        <v>0.36011616650532435</v>
      </c>
      <c r="L21" s="41"/>
      <c r="M21" s="137">
        <f t="shared" si="15"/>
        <v>0.79487179487179482</v>
      </c>
      <c r="N21" s="73"/>
      <c r="O21" s="155"/>
      <c r="P21" s="93"/>
      <c r="Z21" s="40">
        <v>300</v>
      </c>
      <c r="AA21" s="40">
        <f t="shared" si="16"/>
        <v>450</v>
      </c>
    </row>
    <row r="22" spans="1:27" x14ac:dyDescent="0.25">
      <c r="A22" s="74">
        <f t="shared" si="12"/>
        <v>4000</v>
      </c>
      <c r="B22" s="74">
        <f t="shared" si="13"/>
        <v>200</v>
      </c>
      <c r="C22" s="43">
        <v>2314</v>
      </c>
      <c r="D22" s="43">
        <v>180</v>
      </c>
      <c r="E22" s="221">
        <f t="shared" si="14"/>
        <v>46.28</v>
      </c>
      <c r="F22" s="100">
        <f t="shared" si="8"/>
        <v>46.050000000000004</v>
      </c>
      <c r="G22" s="24">
        <v>60</v>
      </c>
      <c r="H22" s="24">
        <v>54</v>
      </c>
      <c r="I22" s="72">
        <f t="shared" si="9"/>
        <v>54</v>
      </c>
      <c r="J22" s="101">
        <f t="shared" si="10"/>
        <v>17.28</v>
      </c>
      <c r="K22" s="136">
        <f t="shared" si="11"/>
        <v>0.37337942955920483</v>
      </c>
      <c r="L22" s="41"/>
      <c r="M22" s="137">
        <f t="shared" si="15"/>
        <v>0.69230769230769229</v>
      </c>
      <c r="N22" s="73"/>
      <c r="O22" s="155"/>
      <c r="P22" s="93"/>
      <c r="Z22" s="40">
        <v>400</v>
      </c>
      <c r="AA22" s="40">
        <f>Z22/400*600</f>
        <v>600</v>
      </c>
    </row>
    <row r="23" spans="1:27" x14ac:dyDescent="0.25">
      <c r="A23" s="74">
        <f t="shared" si="12"/>
        <v>5000</v>
      </c>
      <c r="B23" s="74">
        <f t="shared" si="13"/>
        <v>200</v>
      </c>
      <c r="C23" s="43">
        <v>2450</v>
      </c>
      <c r="D23" s="43">
        <v>180</v>
      </c>
      <c r="E23" s="221">
        <f t="shared" si="14"/>
        <v>49</v>
      </c>
      <c r="F23" s="100">
        <f t="shared" si="8"/>
        <v>48.77</v>
      </c>
      <c r="G23" s="24">
        <v>60</v>
      </c>
      <c r="H23" s="24">
        <v>46</v>
      </c>
      <c r="I23" s="72">
        <f>60*H23/G23</f>
        <v>46</v>
      </c>
      <c r="J23" s="101">
        <f t="shared" si="10"/>
        <v>18.400000000000002</v>
      </c>
      <c r="K23" s="136">
        <f>J23/E23</f>
        <v>0.37551020408163271</v>
      </c>
      <c r="L23" s="41"/>
      <c r="M23" s="137">
        <f t="shared" si="15"/>
        <v>0.58974358974358976</v>
      </c>
      <c r="N23" s="73"/>
      <c r="O23" s="155"/>
      <c r="P23" s="93"/>
    </row>
    <row r="24" spans="1:27" x14ac:dyDescent="0.25">
      <c r="A24" s="199"/>
      <c r="B24" s="199"/>
      <c r="C24" s="43"/>
      <c r="D24" s="43"/>
      <c r="E24" s="133"/>
      <c r="F24" s="100"/>
      <c r="G24" s="24"/>
      <c r="H24" s="24"/>
      <c r="I24" s="72"/>
      <c r="J24" s="101"/>
      <c r="K24" s="41"/>
      <c r="L24" s="41"/>
      <c r="M24" s="137"/>
      <c r="N24" s="73"/>
      <c r="O24" s="43"/>
      <c r="P24" s="43"/>
    </row>
    <row r="25" spans="1:27" x14ac:dyDescent="0.25">
      <c r="A25" s="199">
        <f>Q3</f>
        <v>0</v>
      </c>
      <c r="B25" s="199">
        <f>P$5</f>
        <v>400</v>
      </c>
      <c r="C25" s="43">
        <v>627</v>
      </c>
      <c r="D25" s="43">
        <v>120</v>
      </c>
      <c r="E25" s="221">
        <f>C25/1000*3600/D25</f>
        <v>18.809999999999999</v>
      </c>
      <c r="F25" s="100">
        <f>E25-$J$7</f>
        <v>18.579999999999998</v>
      </c>
      <c r="G25" s="24">
        <v>15</v>
      </c>
      <c r="H25" s="24">
        <v>44</v>
      </c>
      <c r="I25" s="72">
        <f t="shared" ref="I25:I30" si="17">60*H25/G25</f>
        <v>176</v>
      </c>
      <c r="J25" s="101">
        <f t="shared" ref="J25:J30" si="18">I25/100*A25/100*0.8</f>
        <v>0</v>
      </c>
      <c r="K25" s="136">
        <f t="shared" ref="K25:K29" si="19">J25/E25</f>
        <v>0</v>
      </c>
      <c r="L25" s="41"/>
      <c r="M25" s="137"/>
      <c r="N25" s="73"/>
      <c r="O25" s="43"/>
      <c r="P25" s="43"/>
      <c r="Q25" s="69"/>
      <c r="R25" s="70"/>
      <c r="S25" s="70"/>
    </row>
    <row r="26" spans="1:27" x14ac:dyDescent="0.25">
      <c r="A26" s="199">
        <f t="shared" ref="A26:A30" si="20">Q4</f>
        <v>500</v>
      </c>
      <c r="B26" s="199">
        <f t="shared" ref="B26:B30" si="21">P$5</f>
        <v>400</v>
      </c>
      <c r="C26" s="43">
        <v>910</v>
      </c>
      <c r="D26" s="43">
        <v>120</v>
      </c>
      <c r="E26" s="221">
        <f t="shared" ref="E26:E30" si="22">C26/1000*3600/D26</f>
        <v>27.3</v>
      </c>
      <c r="F26" s="100">
        <f t="shared" ref="F26:F30" si="23">E26-$J$7</f>
        <v>27.07</v>
      </c>
      <c r="G26" s="24">
        <v>15</v>
      </c>
      <c r="H26" s="24">
        <v>39</v>
      </c>
      <c r="I26" s="72">
        <f t="shared" si="17"/>
        <v>156</v>
      </c>
      <c r="J26" s="101">
        <f t="shared" si="18"/>
        <v>6.24</v>
      </c>
      <c r="K26" s="136">
        <f t="shared" si="19"/>
        <v>0.22857142857142856</v>
      </c>
      <c r="L26" s="41"/>
      <c r="M26" s="137">
        <f>I26/$I$26</f>
        <v>1</v>
      </c>
      <c r="N26" s="73"/>
      <c r="O26" s="43"/>
      <c r="P26" s="43"/>
      <c r="Z26" s="40">
        <v>100</v>
      </c>
      <c r="AA26" s="40">
        <f t="shared" ref="AA26:AA28" si="24">Z26/400*600</f>
        <v>150</v>
      </c>
    </row>
    <row r="27" spans="1:27" x14ac:dyDescent="0.25">
      <c r="A27" s="199">
        <f t="shared" si="20"/>
        <v>1000</v>
      </c>
      <c r="B27" s="199">
        <f t="shared" si="21"/>
        <v>400</v>
      </c>
      <c r="C27" s="43">
        <v>1150</v>
      </c>
      <c r="D27" s="43">
        <v>120</v>
      </c>
      <c r="E27" s="221">
        <f t="shared" si="22"/>
        <v>34.5</v>
      </c>
      <c r="F27" s="100">
        <f t="shared" si="23"/>
        <v>34.270000000000003</v>
      </c>
      <c r="G27" s="24">
        <v>15</v>
      </c>
      <c r="H27" s="24">
        <v>37</v>
      </c>
      <c r="I27" s="72">
        <f t="shared" si="17"/>
        <v>148</v>
      </c>
      <c r="J27" s="101">
        <f t="shared" si="18"/>
        <v>11.840000000000002</v>
      </c>
      <c r="K27" s="136">
        <f t="shared" si="19"/>
        <v>0.34318840579710147</v>
      </c>
      <c r="L27" s="41"/>
      <c r="M27" s="137">
        <f t="shared" ref="M27:M30" si="25">I27/$I$26</f>
        <v>0.94871794871794868</v>
      </c>
      <c r="N27" s="73"/>
      <c r="O27" s="43"/>
      <c r="P27" s="43"/>
      <c r="Z27" s="40">
        <v>200</v>
      </c>
      <c r="AA27" s="40">
        <f t="shared" si="24"/>
        <v>300</v>
      </c>
    </row>
    <row r="28" spans="1:27" x14ac:dyDescent="0.25">
      <c r="A28" s="199">
        <f t="shared" si="20"/>
        <v>3000</v>
      </c>
      <c r="B28" s="199">
        <f t="shared" si="21"/>
        <v>400</v>
      </c>
      <c r="C28" s="43">
        <v>2150</v>
      </c>
      <c r="D28" s="43">
        <v>120</v>
      </c>
      <c r="E28" s="221">
        <f t="shared" si="22"/>
        <v>64.5</v>
      </c>
      <c r="F28" s="100">
        <f t="shared" si="23"/>
        <v>64.27</v>
      </c>
      <c r="G28" s="24">
        <v>15</v>
      </c>
      <c r="H28" s="24">
        <v>29</v>
      </c>
      <c r="I28" s="72">
        <f t="shared" si="17"/>
        <v>116</v>
      </c>
      <c r="J28" s="101">
        <f t="shared" si="18"/>
        <v>27.84</v>
      </c>
      <c r="K28" s="136">
        <f t="shared" si="19"/>
        <v>0.43162790697674419</v>
      </c>
      <c r="L28" s="41"/>
      <c r="M28" s="137">
        <f t="shared" si="25"/>
        <v>0.74358974358974361</v>
      </c>
      <c r="N28" s="73"/>
      <c r="O28" s="43"/>
      <c r="P28" s="43"/>
      <c r="Z28" s="40">
        <v>300</v>
      </c>
      <c r="AA28" s="40">
        <f t="shared" si="24"/>
        <v>450</v>
      </c>
    </row>
    <row r="29" spans="1:27" x14ac:dyDescent="0.25">
      <c r="A29" s="199">
        <f t="shared" si="20"/>
        <v>4000</v>
      </c>
      <c r="B29" s="199">
        <f t="shared" si="21"/>
        <v>400</v>
      </c>
      <c r="C29" s="43">
        <v>2430</v>
      </c>
      <c r="D29" s="43">
        <v>120</v>
      </c>
      <c r="E29" s="221">
        <f t="shared" si="22"/>
        <v>72.900000000000006</v>
      </c>
      <c r="F29" s="100">
        <f t="shared" si="23"/>
        <v>72.67</v>
      </c>
      <c r="G29" s="24">
        <v>44</v>
      </c>
      <c r="H29" s="24">
        <v>75</v>
      </c>
      <c r="I29" s="72">
        <f t="shared" si="17"/>
        <v>102.27272727272727</v>
      </c>
      <c r="J29" s="101">
        <f t="shared" si="18"/>
        <v>32.727272727272727</v>
      </c>
      <c r="K29" s="136">
        <f t="shared" si="19"/>
        <v>0.44893378226711556</v>
      </c>
      <c r="L29" s="41"/>
      <c r="M29" s="137">
        <f t="shared" si="25"/>
        <v>0.65559440559440552</v>
      </c>
      <c r="N29" s="73"/>
      <c r="O29" s="43"/>
      <c r="P29" s="43"/>
      <c r="Z29" s="40">
        <v>400</v>
      </c>
      <c r="AA29" s="40">
        <f>Z29/400*600</f>
        <v>600</v>
      </c>
    </row>
    <row r="30" spans="1:27" x14ac:dyDescent="0.25">
      <c r="A30" s="199">
        <f t="shared" si="20"/>
        <v>5000</v>
      </c>
      <c r="B30" s="199">
        <f t="shared" si="21"/>
        <v>400</v>
      </c>
      <c r="C30" s="43">
        <v>2634</v>
      </c>
      <c r="D30" s="43">
        <v>120</v>
      </c>
      <c r="E30" s="221">
        <f t="shared" si="22"/>
        <v>79.02</v>
      </c>
      <c r="F30" s="100">
        <f t="shared" si="23"/>
        <v>78.789999999999992</v>
      </c>
      <c r="G30" s="24">
        <v>30</v>
      </c>
      <c r="H30" s="24">
        <v>48</v>
      </c>
      <c r="I30" s="72">
        <f t="shared" si="17"/>
        <v>96</v>
      </c>
      <c r="J30" s="101">
        <f t="shared" si="18"/>
        <v>38.400000000000006</v>
      </c>
      <c r="K30" s="136">
        <f>J30/E30</f>
        <v>0.4859529233105544</v>
      </c>
      <c r="L30" s="41"/>
      <c r="M30" s="137">
        <f t="shared" si="25"/>
        <v>0.61538461538461542</v>
      </c>
      <c r="N30" s="73"/>
      <c r="O30" s="43"/>
      <c r="P30" s="43"/>
    </row>
    <row r="31" spans="1:27" x14ac:dyDescent="0.25">
      <c r="A31" s="74"/>
      <c r="B31" s="199"/>
      <c r="C31" s="43"/>
      <c r="D31" s="43"/>
      <c r="E31" s="133"/>
      <c r="F31" s="100"/>
      <c r="G31" s="24"/>
      <c r="H31" s="24"/>
      <c r="I31" s="72"/>
      <c r="J31" s="101"/>
      <c r="K31" s="41"/>
      <c r="L31" s="41"/>
      <c r="M31" s="137"/>
      <c r="N31" s="73"/>
      <c r="O31" s="43"/>
      <c r="P31" s="43"/>
    </row>
    <row r="32" spans="1:27" x14ac:dyDescent="0.25">
      <c r="A32" s="199">
        <f>Q3</f>
        <v>0</v>
      </c>
      <c r="B32" s="199">
        <f>P$6</f>
        <v>600</v>
      </c>
      <c r="C32" s="43">
        <v>827</v>
      </c>
      <c r="D32" s="43">
        <v>120</v>
      </c>
      <c r="E32" s="221">
        <f>C32/1000*3600/D32</f>
        <v>24.81</v>
      </c>
      <c r="F32" s="100">
        <f>E32-$J$7</f>
        <v>24.58</v>
      </c>
      <c r="G32" s="24">
        <v>15</v>
      </c>
      <c r="H32" s="24">
        <v>69</v>
      </c>
      <c r="I32" s="72">
        <f t="shared" ref="I32:I37" si="26">60*H32/G32</f>
        <v>276</v>
      </c>
      <c r="J32" s="101">
        <f t="shared" ref="J32:J37" si="27">I32/100*A32/100*0.8</f>
        <v>0</v>
      </c>
      <c r="K32" s="136">
        <f t="shared" ref="K32:K36" si="28">J32/E32</f>
        <v>0</v>
      </c>
      <c r="L32" s="41"/>
      <c r="M32" s="137"/>
      <c r="N32" s="73"/>
      <c r="O32" s="43"/>
      <c r="P32" s="43"/>
      <c r="Q32" s="69"/>
      <c r="R32" s="70"/>
      <c r="S32" s="70"/>
    </row>
    <row r="33" spans="1:27" x14ac:dyDescent="0.25">
      <c r="A33" s="199">
        <f t="shared" ref="A33:A37" si="29">Q4</f>
        <v>500</v>
      </c>
      <c r="B33" s="199">
        <f t="shared" ref="B33:B37" si="30">P$6</f>
        <v>600</v>
      </c>
      <c r="C33" s="43">
        <v>1190</v>
      </c>
      <c r="D33" s="43">
        <v>120</v>
      </c>
      <c r="E33" s="221">
        <f t="shared" ref="E33:E37" si="31">C33/1000*3600/D33</f>
        <v>35.700000000000003</v>
      </c>
      <c r="F33" s="100">
        <f t="shared" ref="F33:F37" si="32">E33-$J$7</f>
        <v>35.470000000000006</v>
      </c>
      <c r="G33" s="24">
        <v>15</v>
      </c>
      <c r="H33" s="24">
        <v>64</v>
      </c>
      <c r="I33" s="72">
        <f t="shared" si="26"/>
        <v>256</v>
      </c>
      <c r="J33" s="101">
        <f t="shared" si="27"/>
        <v>10.240000000000002</v>
      </c>
      <c r="K33" s="136">
        <f t="shared" si="28"/>
        <v>0.28683473389355746</v>
      </c>
      <c r="L33" s="41"/>
      <c r="M33" s="137">
        <f>I33/$I$33</f>
        <v>1</v>
      </c>
      <c r="N33" s="73"/>
      <c r="O33" s="43"/>
      <c r="P33" s="43"/>
      <c r="Z33" s="40">
        <v>100</v>
      </c>
      <c r="AA33" s="40">
        <f t="shared" ref="AA33:AA35" si="33">Z33/400*600</f>
        <v>150</v>
      </c>
    </row>
    <row r="34" spans="1:27" x14ac:dyDescent="0.25">
      <c r="A34" s="199">
        <f t="shared" si="29"/>
        <v>1000</v>
      </c>
      <c r="B34" s="199">
        <f t="shared" si="30"/>
        <v>600</v>
      </c>
      <c r="C34" s="43">
        <v>1575</v>
      </c>
      <c r="D34" s="43">
        <v>120</v>
      </c>
      <c r="E34" s="221">
        <f t="shared" si="31"/>
        <v>47.25</v>
      </c>
      <c r="F34" s="100">
        <f t="shared" si="32"/>
        <v>47.02</v>
      </c>
      <c r="G34" s="24">
        <v>15</v>
      </c>
      <c r="H34" s="24">
        <v>60</v>
      </c>
      <c r="I34" s="72">
        <f t="shared" si="26"/>
        <v>240</v>
      </c>
      <c r="J34" s="101">
        <f t="shared" si="27"/>
        <v>19.200000000000003</v>
      </c>
      <c r="K34" s="136">
        <f t="shared" si="28"/>
        <v>0.4063492063492064</v>
      </c>
      <c r="L34" s="41"/>
      <c r="M34" s="137">
        <f t="shared" ref="M34:M37" si="34">I34/$I$33</f>
        <v>0.9375</v>
      </c>
      <c r="N34" s="73"/>
      <c r="O34" s="43"/>
      <c r="P34" s="43"/>
      <c r="Z34" s="40">
        <v>200</v>
      </c>
      <c r="AA34" s="40">
        <f t="shared" si="33"/>
        <v>300</v>
      </c>
    </row>
    <row r="35" spans="1:27" x14ac:dyDescent="0.25">
      <c r="A35" s="199">
        <f t="shared" si="29"/>
        <v>3000</v>
      </c>
      <c r="B35" s="199">
        <f t="shared" si="30"/>
        <v>600</v>
      </c>
      <c r="C35" s="43">
        <v>2960</v>
      </c>
      <c r="D35" s="43">
        <v>130</v>
      </c>
      <c r="E35" s="221">
        <f t="shared" si="31"/>
        <v>81.969230769230762</v>
      </c>
      <c r="F35" s="100">
        <f t="shared" si="32"/>
        <v>81.739230769230758</v>
      </c>
      <c r="G35" s="24">
        <v>15</v>
      </c>
      <c r="H35" s="24">
        <v>46</v>
      </c>
      <c r="I35" s="72">
        <f t="shared" si="26"/>
        <v>184</v>
      </c>
      <c r="J35" s="101">
        <f t="shared" si="27"/>
        <v>44.160000000000004</v>
      </c>
      <c r="K35" s="136">
        <f t="shared" si="28"/>
        <v>0.53873873873873879</v>
      </c>
      <c r="L35" s="41"/>
      <c r="M35" s="137">
        <f t="shared" si="34"/>
        <v>0.71875</v>
      </c>
      <c r="N35" s="73"/>
      <c r="O35" s="43"/>
      <c r="P35" s="43"/>
      <c r="Z35" s="40">
        <v>300</v>
      </c>
      <c r="AA35" s="40">
        <f t="shared" si="33"/>
        <v>450</v>
      </c>
    </row>
    <row r="36" spans="1:27" x14ac:dyDescent="0.25">
      <c r="A36" s="199">
        <f t="shared" si="29"/>
        <v>4000</v>
      </c>
      <c r="B36" s="199">
        <f t="shared" si="30"/>
        <v>600</v>
      </c>
      <c r="C36" s="43">
        <v>3066</v>
      </c>
      <c r="D36" s="43">
        <v>120</v>
      </c>
      <c r="E36" s="221">
        <f t="shared" si="31"/>
        <v>91.97999999999999</v>
      </c>
      <c r="F36" s="100">
        <f t="shared" si="32"/>
        <v>91.749999999999986</v>
      </c>
      <c r="G36" s="24">
        <v>15</v>
      </c>
      <c r="H36" s="24">
        <v>38</v>
      </c>
      <c r="I36" s="72">
        <f t="shared" si="26"/>
        <v>152</v>
      </c>
      <c r="J36" s="101">
        <f t="shared" si="27"/>
        <v>48.64</v>
      </c>
      <c r="K36" s="136">
        <f t="shared" si="28"/>
        <v>0.52881061100239191</v>
      </c>
      <c r="L36" s="41"/>
      <c r="M36" s="137">
        <f t="shared" si="34"/>
        <v>0.59375</v>
      </c>
      <c r="N36" s="73"/>
      <c r="O36" s="43"/>
      <c r="P36" s="43"/>
      <c r="Z36" s="40">
        <v>400</v>
      </c>
      <c r="AA36" s="40">
        <f>Z36/400*600</f>
        <v>600</v>
      </c>
    </row>
    <row r="37" spans="1:27" x14ac:dyDescent="0.25">
      <c r="A37" s="199">
        <f t="shared" si="29"/>
        <v>5000</v>
      </c>
      <c r="B37" s="199">
        <f t="shared" si="30"/>
        <v>600</v>
      </c>
      <c r="C37" s="43">
        <v>3745</v>
      </c>
      <c r="D37" s="43">
        <v>133</v>
      </c>
      <c r="E37" s="221">
        <f t="shared" si="31"/>
        <v>101.36842105263158</v>
      </c>
      <c r="F37" s="100">
        <f t="shared" si="32"/>
        <v>101.13842105263157</v>
      </c>
      <c r="G37" s="24">
        <v>30</v>
      </c>
      <c r="H37" s="24">
        <v>73</v>
      </c>
      <c r="I37" s="72">
        <f t="shared" si="26"/>
        <v>146</v>
      </c>
      <c r="J37" s="101">
        <f t="shared" si="27"/>
        <v>58.400000000000006</v>
      </c>
      <c r="K37" s="136">
        <f>J37/E37</f>
        <v>0.57611630321910701</v>
      </c>
      <c r="L37" s="41"/>
      <c r="M37" s="137">
        <f t="shared" si="34"/>
        <v>0.5703125</v>
      </c>
      <c r="N37" s="73"/>
      <c r="O37" s="43"/>
      <c r="P37" s="43"/>
    </row>
    <row r="38" spans="1:27" x14ac:dyDescent="0.25">
      <c r="A38" s="199"/>
      <c r="B38" s="199"/>
      <c r="C38" s="43"/>
      <c r="D38" s="43"/>
      <c r="E38" s="133"/>
      <c r="F38" s="100"/>
      <c r="G38" s="24"/>
      <c r="H38" s="24"/>
      <c r="I38" s="72"/>
      <c r="J38" s="101"/>
      <c r="K38" s="41"/>
      <c r="L38" s="41"/>
      <c r="M38" s="137"/>
      <c r="N38" s="73"/>
      <c r="O38" s="43"/>
      <c r="P38" s="43"/>
    </row>
    <row r="39" spans="1:27" x14ac:dyDescent="0.25">
      <c r="A39" s="199">
        <f>Q3</f>
        <v>0</v>
      </c>
      <c r="B39" s="199">
        <f>P$7</f>
        <v>800</v>
      </c>
      <c r="C39" s="43">
        <v>1045</v>
      </c>
      <c r="D39" s="43">
        <v>120</v>
      </c>
      <c r="E39" s="221">
        <f>C39/1000*3600/D39</f>
        <v>31.349999999999998</v>
      </c>
      <c r="F39" s="100">
        <f>E39-$J$7</f>
        <v>31.119999999999997</v>
      </c>
      <c r="G39" s="24">
        <v>15</v>
      </c>
      <c r="H39" s="24">
        <v>93</v>
      </c>
      <c r="I39" s="72">
        <f t="shared" ref="I39:I44" si="35">60*H39/G39</f>
        <v>372</v>
      </c>
      <c r="J39" s="101">
        <f t="shared" ref="J39:J44" si="36">I39/100*A39/100*0.8</f>
        <v>0</v>
      </c>
      <c r="K39" s="136">
        <f t="shared" ref="K39:K43" si="37">J39/E39</f>
        <v>0</v>
      </c>
      <c r="L39" s="41"/>
      <c r="M39" s="137"/>
      <c r="N39" s="73"/>
      <c r="O39" s="43"/>
      <c r="P39" s="43"/>
      <c r="Q39" s="69"/>
      <c r="R39" s="70"/>
      <c r="S39" s="70"/>
    </row>
    <row r="40" spans="1:27" x14ac:dyDescent="0.25">
      <c r="A40" s="199">
        <f t="shared" ref="A40:A44" si="38">Q4</f>
        <v>500</v>
      </c>
      <c r="B40" s="199">
        <f t="shared" ref="B40:B44" si="39">P$7</f>
        <v>800</v>
      </c>
      <c r="C40" s="43">
        <v>1555</v>
      </c>
      <c r="D40" s="43">
        <v>120</v>
      </c>
      <c r="E40" s="221">
        <f t="shared" ref="E40:E44" si="40">C40/1000*3600/D40</f>
        <v>46.65</v>
      </c>
      <c r="F40" s="100">
        <f t="shared" ref="F40:F44" si="41">E40-$J$7</f>
        <v>46.42</v>
      </c>
      <c r="G40" s="24">
        <v>15</v>
      </c>
      <c r="H40" s="24">
        <v>84</v>
      </c>
      <c r="I40" s="72">
        <f t="shared" si="35"/>
        <v>336</v>
      </c>
      <c r="J40" s="101">
        <f t="shared" si="36"/>
        <v>13.440000000000001</v>
      </c>
      <c r="K40" s="136">
        <f t="shared" si="37"/>
        <v>0.28810289389067528</v>
      </c>
      <c r="L40" s="41"/>
      <c r="M40" s="137">
        <f>I40/$I$40</f>
        <v>1</v>
      </c>
      <c r="N40" s="73"/>
      <c r="O40" s="43"/>
      <c r="P40" s="43"/>
      <c r="Z40" s="40">
        <v>100</v>
      </c>
      <c r="AA40" s="40">
        <f t="shared" ref="AA40:AA42" si="42">Z40/400*600</f>
        <v>150</v>
      </c>
    </row>
    <row r="41" spans="1:27" x14ac:dyDescent="0.25">
      <c r="A41" s="199">
        <f t="shared" si="38"/>
        <v>1000</v>
      </c>
      <c r="B41" s="199">
        <f t="shared" si="39"/>
        <v>800</v>
      </c>
      <c r="C41" s="43">
        <v>2070</v>
      </c>
      <c r="D41" s="43">
        <v>120</v>
      </c>
      <c r="E41" s="221">
        <f t="shared" si="40"/>
        <v>62.099999999999994</v>
      </c>
      <c r="F41" s="100">
        <f t="shared" si="41"/>
        <v>61.87</v>
      </c>
      <c r="G41" s="24">
        <v>15</v>
      </c>
      <c r="H41" s="24">
        <v>77</v>
      </c>
      <c r="I41" s="72">
        <f t="shared" si="35"/>
        <v>308</v>
      </c>
      <c r="J41" s="101">
        <f t="shared" si="36"/>
        <v>24.64</v>
      </c>
      <c r="K41" s="136">
        <f t="shared" si="37"/>
        <v>0.39677938808373597</v>
      </c>
      <c r="L41" s="41"/>
      <c r="M41" s="137">
        <f t="shared" ref="M41:M44" si="43">I41/$I$40</f>
        <v>0.91666666666666663</v>
      </c>
      <c r="N41" s="73"/>
      <c r="O41" s="43"/>
      <c r="P41" s="43"/>
      <c r="Z41" s="40">
        <v>200</v>
      </c>
      <c r="AA41" s="40">
        <f t="shared" si="42"/>
        <v>300</v>
      </c>
    </row>
    <row r="42" spans="1:27" x14ac:dyDescent="0.25">
      <c r="A42" s="199">
        <f t="shared" si="38"/>
        <v>3000</v>
      </c>
      <c r="B42" s="199">
        <f t="shared" si="39"/>
        <v>800</v>
      </c>
      <c r="C42" s="43">
        <v>3376</v>
      </c>
      <c r="D42" s="43">
        <v>120</v>
      </c>
      <c r="E42" s="221">
        <f t="shared" si="40"/>
        <v>101.28</v>
      </c>
      <c r="F42" s="100">
        <f t="shared" si="41"/>
        <v>101.05</v>
      </c>
      <c r="G42" s="24">
        <v>15</v>
      </c>
      <c r="H42" s="24">
        <v>59</v>
      </c>
      <c r="I42" s="72">
        <f t="shared" si="35"/>
        <v>236</v>
      </c>
      <c r="J42" s="101">
        <f t="shared" si="36"/>
        <v>56.64</v>
      </c>
      <c r="K42" s="136">
        <f t="shared" si="37"/>
        <v>0.55924170616113744</v>
      </c>
      <c r="L42" s="41"/>
      <c r="M42" s="137">
        <f t="shared" si="43"/>
        <v>0.70238095238095233</v>
      </c>
      <c r="N42" s="73"/>
      <c r="O42" s="43"/>
      <c r="P42" s="43"/>
      <c r="Z42" s="40">
        <v>300</v>
      </c>
      <c r="AA42" s="40">
        <f t="shared" si="42"/>
        <v>450</v>
      </c>
    </row>
    <row r="43" spans="1:27" x14ac:dyDescent="0.25">
      <c r="A43" s="199">
        <f t="shared" si="38"/>
        <v>4000</v>
      </c>
      <c r="B43" s="199">
        <f t="shared" si="39"/>
        <v>800</v>
      </c>
      <c r="C43" s="43">
        <v>1953</v>
      </c>
      <c r="D43" s="43">
        <v>60</v>
      </c>
      <c r="E43" s="221">
        <f t="shared" si="40"/>
        <v>117.18</v>
      </c>
      <c r="F43" s="100">
        <f t="shared" si="41"/>
        <v>116.95</v>
      </c>
      <c r="G43" s="24">
        <v>15</v>
      </c>
      <c r="H43" s="24">
        <v>50</v>
      </c>
      <c r="I43" s="72">
        <f t="shared" si="35"/>
        <v>200</v>
      </c>
      <c r="J43" s="101">
        <f t="shared" si="36"/>
        <v>64</v>
      </c>
      <c r="K43" s="136">
        <f t="shared" si="37"/>
        <v>0.54616828810377194</v>
      </c>
      <c r="L43" s="41"/>
      <c r="M43" s="137">
        <f t="shared" si="43"/>
        <v>0.59523809523809523</v>
      </c>
      <c r="N43" s="73"/>
      <c r="O43" s="43"/>
      <c r="P43" s="43"/>
      <c r="Z43" s="40">
        <v>400</v>
      </c>
      <c r="AA43" s="40">
        <f>Z43/400*600</f>
        <v>600</v>
      </c>
    </row>
    <row r="44" spans="1:27" x14ac:dyDescent="0.25">
      <c r="A44" s="199">
        <f t="shared" si="38"/>
        <v>5000</v>
      </c>
      <c r="B44" s="199">
        <f t="shared" si="39"/>
        <v>800</v>
      </c>
      <c r="C44" s="43">
        <v>2075</v>
      </c>
      <c r="D44" s="43">
        <v>60</v>
      </c>
      <c r="E44" s="221">
        <f t="shared" si="40"/>
        <v>124.50000000000001</v>
      </c>
      <c r="F44" s="100">
        <f t="shared" si="41"/>
        <v>124.27000000000001</v>
      </c>
      <c r="G44" s="24">
        <v>15</v>
      </c>
      <c r="H44" s="24">
        <v>42</v>
      </c>
      <c r="I44" s="72">
        <f t="shared" si="35"/>
        <v>168</v>
      </c>
      <c r="J44" s="101">
        <f t="shared" si="36"/>
        <v>67.2</v>
      </c>
      <c r="K44" s="136">
        <f>J44/E44</f>
        <v>0.53975903614457832</v>
      </c>
      <c r="L44" s="41"/>
      <c r="M44" s="137">
        <f t="shared" si="43"/>
        <v>0.5</v>
      </c>
      <c r="N44" s="73"/>
      <c r="O44" s="43"/>
      <c r="P44" s="43"/>
    </row>
    <row r="45" spans="1:27" x14ac:dyDescent="0.25">
      <c r="A45" s="74"/>
      <c r="B45" s="199"/>
      <c r="C45" s="43"/>
      <c r="D45" s="43"/>
      <c r="E45" s="133"/>
      <c r="F45" s="100"/>
      <c r="G45" s="24"/>
      <c r="H45" s="24"/>
      <c r="I45" s="72"/>
      <c r="J45" s="101"/>
      <c r="K45" s="41"/>
      <c r="L45" s="41"/>
      <c r="M45" s="137"/>
      <c r="N45" s="73"/>
      <c r="O45" s="43"/>
      <c r="P45" s="43"/>
    </row>
    <row r="46" spans="1:27" x14ac:dyDescent="0.25">
      <c r="A46" s="199">
        <f>Q3</f>
        <v>0</v>
      </c>
      <c r="B46" s="199">
        <f>P$8</f>
        <v>1000</v>
      </c>
      <c r="C46" s="43">
        <v>685</v>
      </c>
      <c r="D46" s="43">
        <v>60</v>
      </c>
      <c r="E46" s="221">
        <f>C46/1000*3600/D46</f>
        <v>41.1</v>
      </c>
      <c r="F46" s="100">
        <f>E46-$J$7</f>
        <v>40.870000000000005</v>
      </c>
      <c r="G46" s="24">
        <v>10</v>
      </c>
      <c r="H46" s="24">
        <v>78</v>
      </c>
      <c r="I46" s="72">
        <f t="shared" ref="I46:I51" si="44">60*H46/G46</f>
        <v>468</v>
      </c>
      <c r="J46" s="101">
        <f t="shared" ref="J46:J51" si="45">I46/100*A46/100*0.8</f>
        <v>0</v>
      </c>
      <c r="K46" s="136">
        <f t="shared" ref="K46:K50" si="46">J46/E46</f>
        <v>0</v>
      </c>
      <c r="L46" s="41"/>
      <c r="M46" s="137"/>
      <c r="N46" s="73"/>
      <c r="O46" s="43"/>
      <c r="P46" s="43"/>
      <c r="Q46" s="69"/>
      <c r="R46" s="70"/>
      <c r="S46" s="70"/>
    </row>
    <row r="47" spans="1:27" x14ac:dyDescent="0.25">
      <c r="A47" s="199">
        <f t="shared" ref="A47:A51" si="47">Q4</f>
        <v>500</v>
      </c>
      <c r="B47" s="199">
        <f t="shared" ref="B47:B51" si="48">P$8</f>
        <v>1000</v>
      </c>
      <c r="C47" s="43">
        <v>1202</v>
      </c>
      <c r="D47" s="43">
        <v>75</v>
      </c>
      <c r="E47" s="221">
        <f t="shared" ref="E47:E51" si="49">C47/1000*3600/D47</f>
        <v>57.695999999999998</v>
      </c>
      <c r="F47" s="100">
        <f t="shared" ref="F47:F51" si="50">E47-$J$7</f>
        <v>57.466000000000001</v>
      </c>
      <c r="G47" s="24">
        <v>10</v>
      </c>
      <c r="H47" s="24">
        <v>70</v>
      </c>
      <c r="I47" s="72">
        <f t="shared" si="44"/>
        <v>420</v>
      </c>
      <c r="J47" s="101">
        <f t="shared" si="45"/>
        <v>16.8</v>
      </c>
      <c r="K47" s="136">
        <f t="shared" si="46"/>
        <v>0.29118136439267889</v>
      </c>
      <c r="L47" s="41"/>
      <c r="M47" s="137">
        <f>I47/$I$47</f>
        <v>1</v>
      </c>
      <c r="N47" s="73"/>
      <c r="O47" s="43"/>
      <c r="P47" s="43"/>
      <c r="Z47" s="40">
        <v>100</v>
      </c>
      <c r="AA47" s="40">
        <f t="shared" ref="AA47:AA49" si="51">Z47/400*600</f>
        <v>150</v>
      </c>
    </row>
    <row r="48" spans="1:27" x14ac:dyDescent="0.25">
      <c r="A48" s="199">
        <f t="shared" si="47"/>
        <v>1000</v>
      </c>
      <c r="B48" s="199">
        <f t="shared" si="48"/>
        <v>1000</v>
      </c>
      <c r="C48" s="43">
        <v>1249</v>
      </c>
      <c r="D48" s="43">
        <v>60</v>
      </c>
      <c r="E48" s="221">
        <f t="shared" si="49"/>
        <v>74.940000000000012</v>
      </c>
      <c r="F48" s="100">
        <f t="shared" si="50"/>
        <v>74.710000000000008</v>
      </c>
      <c r="G48" s="24">
        <v>10</v>
      </c>
      <c r="H48" s="24">
        <v>62</v>
      </c>
      <c r="I48" s="72">
        <f t="shared" si="44"/>
        <v>372</v>
      </c>
      <c r="J48" s="101">
        <f t="shared" si="45"/>
        <v>29.760000000000005</v>
      </c>
      <c r="K48" s="136">
        <f t="shared" si="46"/>
        <v>0.39711769415532427</v>
      </c>
      <c r="L48" s="41"/>
      <c r="M48" s="137">
        <f t="shared" ref="M48:M51" si="52">I48/$I$47</f>
        <v>0.88571428571428568</v>
      </c>
      <c r="N48" s="73"/>
      <c r="O48" s="43"/>
      <c r="P48" s="43"/>
      <c r="Z48" s="40">
        <v>200</v>
      </c>
      <c r="AA48" s="40">
        <f t="shared" si="51"/>
        <v>300</v>
      </c>
    </row>
    <row r="49" spans="1:27" x14ac:dyDescent="0.25">
      <c r="A49" s="199">
        <f t="shared" si="47"/>
        <v>3000</v>
      </c>
      <c r="B49" s="199">
        <f t="shared" si="48"/>
        <v>1000</v>
      </c>
      <c r="C49" s="43">
        <v>2082</v>
      </c>
      <c r="D49" s="43">
        <v>60</v>
      </c>
      <c r="E49" s="221">
        <f t="shared" si="49"/>
        <v>124.92</v>
      </c>
      <c r="F49" s="100">
        <f t="shared" si="50"/>
        <v>124.69</v>
      </c>
      <c r="G49" s="24">
        <v>10</v>
      </c>
      <c r="H49" s="24">
        <v>49</v>
      </c>
      <c r="I49" s="72">
        <f t="shared" si="44"/>
        <v>294</v>
      </c>
      <c r="J49" s="101">
        <f t="shared" si="45"/>
        <v>70.56</v>
      </c>
      <c r="K49" s="136">
        <f t="shared" si="46"/>
        <v>0.56484149855907784</v>
      </c>
      <c r="L49" s="41"/>
      <c r="M49" s="137">
        <f t="shared" si="52"/>
        <v>0.7</v>
      </c>
      <c r="N49" s="73"/>
      <c r="O49" s="43"/>
      <c r="P49" s="43"/>
      <c r="Z49" s="40">
        <v>300</v>
      </c>
      <c r="AA49" s="40">
        <f t="shared" si="51"/>
        <v>450</v>
      </c>
    </row>
    <row r="50" spans="1:27" x14ac:dyDescent="0.25">
      <c r="A50" s="199">
        <f t="shared" si="47"/>
        <v>4000</v>
      </c>
      <c r="B50" s="199">
        <f t="shared" si="48"/>
        <v>1000</v>
      </c>
      <c r="C50" s="43">
        <v>1050</v>
      </c>
      <c r="D50" s="43">
        <v>30</v>
      </c>
      <c r="E50" s="221">
        <f t="shared" si="49"/>
        <v>126</v>
      </c>
      <c r="F50" s="100">
        <f t="shared" si="50"/>
        <v>125.77</v>
      </c>
      <c r="G50" s="24">
        <v>10</v>
      </c>
      <c r="H50" s="24">
        <v>40</v>
      </c>
      <c r="I50" s="72">
        <f t="shared" si="44"/>
        <v>240</v>
      </c>
      <c r="J50" s="101">
        <f t="shared" si="45"/>
        <v>76.800000000000011</v>
      </c>
      <c r="K50" s="136">
        <f t="shared" si="46"/>
        <v>0.60952380952380958</v>
      </c>
      <c r="L50" s="41"/>
      <c r="M50" s="137">
        <f t="shared" si="52"/>
        <v>0.5714285714285714</v>
      </c>
      <c r="N50" s="73"/>
      <c r="O50" s="43"/>
      <c r="P50" s="43"/>
      <c r="Z50" s="40">
        <v>400</v>
      </c>
      <c r="AA50" s="40">
        <f>Z50/400*600</f>
        <v>600</v>
      </c>
    </row>
    <row r="51" spans="1:27" x14ac:dyDescent="0.25">
      <c r="A51" s="199">
        <f t="shared" si="47"/>
        <v>5000</v>
      </c>
      <c r="B51" s="199">
        <f t="shared" si="48"/>
        <v>1000</v>
      </c>
      <c r="C51" s="43">
        <v>2568</v>
      </c>
      <c r="D51" s="43">
        <v>60</v>
      </c>
      <c r="E51" s="221">
        <f t="shared" si="49"/>
        <v>154.08000000000001</v>
      </c>
      <c r="F51" s="100">
        <f t="shared" si="50"/>
        <v>153.85000000000002</v>
      </c>
      <c r="G51" s="24">
        <v>15</v>
      </c>
      <c r="H51" s="24">
        <v>53</v>
      </c>
      <c r="I51" s="72">
        <f t="shared" si="44"/>
        <v>212</v>
      </c>
      <c r="J51" s="101">
        <f t="shared" si="45"/>
        <v>84.800000000000011</v>
      </c>
      <c r="K51" s="136">
        <f>J51/E51</f>
        <v>0.55036344755970923</v>
      </c>
      <c r="L51" s="41"/>
      <c r="M51" s="137">
        <f t="shared" si="52"/>
        <v>0.50476190476190474</v>
      </c>
      <c r="N51" s="73"/>
      <c r="O51" s="43"/>
      <c r="P51" s="43"/>
    </row>
    <row r="52" spans="1:27" x14ac:dyDescent="0.25">
      <c r="A52" s="43"/>
      <c r="B52" s="199"/>
      <c r="C52" s="41"/>
      <c r="D52" s="41"/>
      <c r="E52" s="41"/>
      <c r="F52" s="75"/>
      <c r="G52" s="41"/>
      <c r="H52" s="43"/>
      <c r="I52" s="76"/>
      <c r="J52" s="71"/>
      <c r="K52" s="41"/>
      <c r="L52" s="41"/>
      <c r="M52" s="137"/>
      <c r="N52" s="73"/>
      <c r="O52" s="43"/>
      <c r="P52" s="43"/>
    </row>
    <row r="53" spans="1:27" x14ac:dyDescent="0.25">
      <c r="A53" s="43"/>
      <c r="B53" s="74"/>
      <c r="C53" s="41"/>
      <c r="D53" s="41"/>
      <c r="E53" s="41"/>
      <c r="F53" s="41"/>
      <c r="G53" s="41"/>
      <c r="H53" s="43"/>
      <c r="I53" s="76"/>
      <c r="J53" s="71"/>
      <c r="K53" s="41"/>
      <c r="L53" s="41"/>
      <c r="M53" s="137"/>
      <c r="N53" s="73"/>
      <c r="O53" s="43"/>
      <c r="P53" s="43"/>
    </row>
    <row r="54" spans="1:27" x14ac:dyDescent="0.25">
      <c r="A54" s="43"/>
      <c r="B54" s="199"/>
      <c r="C54" s="41"/>
      <c r="D54" s="41"/>
      <c r="E54" s="41"/>
      <c r="F54" s="41"/>
      <c r="G54" s="41"/>
      <c r="H54" s="43"/>
      <c r="I54" s="76"/>
      <c r="J54" s="71"/>
      <c r="K54" s="41"/>
      <c r="L54" s="41"/>
      <c r="M54" s="137"/>
      <c r="N54" s="73"/>
      <c r="O54" s="43"/>
      <c r="P54" s="43"/>
    </row>
    <row r="55" spans="1:27" x14ac:dyDescent="0.25">
      <c r="A55" s="47"/>
      <c r="B55" s="199"/>
      <c r="C55" s="41"/>
      <c r="D55" s="41"/>
      <c r="E55" s="41"/>
      <c r="F55" s="41"/>
      <c r="G55" s="41"/>
      <c r="H55" s="43"/>
      <c r="I55" s="76"/>
      <c r="J55" s="71"/>
      <c r="K55" s="41"/>
      <c r="L55" s="41"/>
      <c r="M55" s="137"/>
      <c r="N55" s="73"/>
      <c r="O55" s="43"/>
      <c r="P55" s="43"/>
    </row>
    <row r="56" spans="1:27" x14ac:dyDescent="0.25">
      <c r="A56" s="71"/>
      <c r="B56" s="74"/>
      <c r="C56" s="41"/>
      <c r="D56" s="41"/>
      <c r="E56" s="41"/>
      <c r="F56" s="41"/>
      <c r="G56" s="41"/>
      <c r="H56" s="43"/>
      <c r="I56" s="76"/>
      <c r="J56" s="71"/>
      <c r="K56" s="41"/>
      <c r="L56" s="41"/>
      <c r="M56" s="137"/>
      <c r="N56" s="73"/>
      <c r="O56" s="43"/>
      <c r="P56" s="43"/>
    </row>
    <row r="57" spans="1:27" x14ac:dyDescent="0.25">
      <c r="A57" s="47"/>
      <c r="B57" s="199"/>
      <c r="C57" s="41"/>
      <c r="D57" s="41"/>
      <c r="E57" s="41"/>
      <c r="F57" s="41"/>
      <c r="G57" s="41"/>
      <c r="H57" s="43"/>
      <c r="I57" s="43"/>
      <c r="J57" s="47"/>
      <c r="K57" s="41"/>
      <c r="L57" s="41"/>
      <c r="M57" s="137"/>
      <c r="N57" s="73"/>
      <c r="O57" s="43"/>
      <c r="P57" s="43"/>
    </row>
    <row r="58" spans="1:27" x14ac:dyDescent="0.25">
      <c r="A58" s="47"/>
      <c r="B58" s="199"/>
      <c r="C58" s="41"/>
      <c r="D58" s="41"/>
      <c r="E58" s="41"/>
      <c r="F58" s="41"/>
      <c r="G58" s="136"/>
      <c r="H58" s="43"/>
      <c r="I58" s="43"/>
      <c r="J58" s="47"/>
      <c r="K58" s="41"/>
      <c r="L58" s="41"/>
      <c r="M58" s="137"/>
      <c r="N58" s="73"/>
      <c r="O58" s="43"/>
      <c r="P58" s="43"/>
    </row>
    <row r="59" spans="1:27" x14ac:dyDescent="0.25">
      <c r="A59" s="47"/>
      <c r="B59" s="199"/>
      <c r="C59" s="41"/>
      <c r="D59" s="41"/>
      <c r="E59" s="41"/>
      <c r="F59" s="41"/>
      <c r="G59" s="41"/>
      <c r="H59" s="43"/>
      <c r="I59" s="43"/>
      <c r="J59" s="47"/>
      <c r="K59" s="41"/>
      <c r="L59" s="41"/>
      <c r="M59" s="137"/>
      <c r="N59" s="73"/>
      <c r="O59" s="43"/>
      <c r="P59" s="43"/>
    </row>
    <row r="60" spans="1:27" x14ac:dyDescent="0.25">
      <c r="A60" s="47"/>
      <c r="B60" s="199"/>
      <c r="C60" s="41"/>
      <c r="D60" s="41"/>
      <c r="E60" s="41"/>
      <c r="F60" s="41"/>
      <c r="G60" s="41"/>
      <c r="H60" s="43"/>
      <c r="I60" s="43"/>
      <c r="J60" s="47"/>
      <c r="K60" s="41"/>
      <c r="L60" s="41"/>
      <c r="M60" s="137"/>
      <c r="N60" s="73"/>
      <c r="O60" s="43"/>
      <c r="P60" s="43"/>
    </row>
    <row r="61" spans="1:27" x14ac:dyDescent="0.25">
      <c r="A61" s="47"/>
      <c r="B61" s="199"/>
      <c r="C61" s="41"/>
      <c r="D61" s="41"/>
      <c r="E61" s="41"/>
      <c r="F61" s="41"/>
      <c r="G61" s="41"/>
      <c r="H61" s="43"/>
      <c r="I61" s="43"/>
      <c r="J61" s="47"/>
      <c r="K61" s="41"/>
      <c r="L61" s="41"/>
      <c r="M61" s="137"/>
      <c r="N61" s="73"/>
      <c r="O61" s="43"/>
      <c r="P61" s="43"/>
    </row>
    <row r="63" spans="1:27" x14ac:dyDescent="0.25">
      <c r="L63" s="80" t="s">
        <v>17</v>
      </c>
      <c r="M63" s="125"/>
      <c r="N63" s="123" t="s">
        <v>228</v>
      </c>
    </row>
    <row r="64" spans="1:27" x14ac:dyDescent="0.25">
      <c r="K64" s="79" t="s">
        <v>176</v>
      </c>
      <c r="L64" s="81">
        <f>B11</f>
        <v>100</v>
      </c>
      <c r="M64" s="80">
        <f>B18</f>
        <v>200</v>
      </c>
      <c r="N64" s="80">
        <f>B25</f>
        <v>400</v>
      </c>
      <c r="O64" s="80">
        <f>B32</f>
        <v>600</v>
      </c>
      <c r="P64" s="80">
        <f>B39</f>
        <v>800</v>
      </c>
      <c r="Q64" s="80">
        <f>B46</f>
        <v>1000</v>
      </c>
    </row>
    <row r="65" spans="1:18" x14ac:dyDescent="0.25">
      <c r="K65" s="82">
        <f>Q3</f>
        <v>0</v>
      </c>
      <c r="L65" s="140">
        <f>I11</f>
        <v>44</v>
      </c>
      <c r="M65" s="93">
        <f>I18</f>
        <v>87</v>
      </c>
      <c r="N65" s="93">
        <f>I25</f>
        <v>176</v>
      </c>
      <c r="O65" s="93">
        <f>I32</f>
        <v>276</v>
      </c>
      <c r="P65" s="93">
        <f>I39</f>
        <v>372</v>
      </c>
      <c r="Q65" s="93">
        <f>I46</f>
        <v>468</v>
      </c>
    </row>
    <row r="66" spans="1:18" x14ac:dyDescent="0.25">
      <c r="K66" s="82">
        <f t="shared" ref="K66:K70" si="53">Q4</f>
        <v>500</v>
      </c>
      <c r="L66" s="140">
        <f t="shared" ref="L66:L70" si="54">I12</f>
        <v>40</v>
      </c>
      <c r="M66" s="93">
        <f t="shared" ref="M66:M70" si="55">I19</f>
        <v>78</v>
      </c>
      <c r="N66" s="93">
        <f t="shared" ref="N66:N70" si="56">I26</f>
        <v>156</v>
      </c>
      <c r="O66" s="93">
        <f t="shared" ref="O66:O70" si="57">I33</f>
        <v>256</v>
      </c>
      <c r="P66" s="93">
        <f t="shared" ref="P66:P70" si="58">I40</f>
        <v>336</v>
      </c>
      <c r="Q66" s="93">
        <f t="shared" ref="Q66:Q70" si="59">I47</f>
        <v>420</v>
      </c>
    </row>
    <row r="67" spans="1:18" x14ac:dyDescent="0.25">
      <c r="K67" s="82">
        <f t="shared" si="53"/>
        <v>1000</v>
      </c>
      <c r="L67" s="140">
        <f t="shared" si="54"/>
        <v>37</v>
      </c>
      <c r="M67" s="93">
        <f t="shared" si="55"/>
        <v>73</v>
      </c>
      <c r="N67" s="93">
        <f t="shared" si="56"/>
        <v>148</v>
      </c>
      <c r="O67" s="93">
        <f t="shared" si="57"/>
        <v>240</v>
      </c>
      <c r="P67" s="93">
        <f t="shared" si="58"/>
        <v>308</v>
      </c>
      <c r="Q67" s="93">
        <f t="shared" si="59"/>
        <v>372</v>
      </c>
    </row>
    <row r="68" spans="1:18" x14ac:dyDescent="0.25">
      <c r="K68" s="82">
        <f t="shared" si="53"/>
        <v>3000</v>
      </c>
      <c r="L68" s="140">
        <f t="shared" si="54"/>
        <v>30</v>
      </c>
      <c r="M68" s="93">
        <f t="shared" si="55"/>
        <v>62</v>
      </c>
      <c r="N68" s="93">
        <f t="shared" si="56"/>
        <v>116</v>
      </c>
      <c r="O68" s="93">
        <f t="shared" si="57"/>
        <v>184</v>
      </c>
      <c r="P68" s="93">
        <f t="shared" si="58"/>
        <v>236</v>
      </c>
      <c r="Q68" s="93">
        <f t="shared" si="59"/>
        <v>294</v>
      </c>
    </row>
    <row r="69" spans="1:18" x14ac:dyDescent="0.25">
      <c r="K69" s="82">
        <f t="shared" si="53"/>
        <v>4000</v>
      </c>
      <c r="L69" s="140">
        <f t="shared" si="54"/>
        <v>26</v>
      </c>
      <c r="M69" s="93">
        <f t="shared" si="55"/>
        <v>54</v>
      </c>
      <c r="N69" s="93">
        <f t="shared" si="56"/>
        <v>102.27272727272727</v>
      </c>
      <c r="O69" s="93">
        <f t="shared" si="57"/>
        <v>152</v>
      </c>
      <c r="P69" s="93">
        <f t="shared" si="58"/>
        <v>200</v>
      </c>
      <c r="Q69" s="93">
        <f t="shared" si="59"/>
        <v>240</v>
      </c>
    </row>
    <row r="70" spans="1:18" x14ac:dyDescent="0.25">
      <c r="K70" s="82">
        <f t="shared" si="53"/>
        <v>5000</v>
      </c>
      <c r="L70" s="140">
        <f t="shared" si="54"/>
        <v>23</v>
      </c>
      <c r="M70" s="93">
        <f t="shared" si="55"/>
        <v>46</v>
      </c>
      <c r="N70" s="93">
        <f t="shared" si="56"/>
        <v>96</v>
      </c>
      <c r="O70" s="93">
        <f t="shared" si="57"/>
        <v>146</v>
      </c>
      <c r="P70" s="93">
        <f t="shared" si="58"/>
        <v>168</v>
      </c>
      <c r="Q70" s="93">
        <f t="shared" si="59"/>
        <v>212</v>
      </c>
    </row>
    <row r="71" spans="1:18" x14ac:dyDescent="0.25">
      <c r="K71" s="83"/>
      <c r="M71" s="125"/>
    </row>
    <row r="72" spans="1:18" x14ac:dyDescent="0.25">
      <c r="K72" s="123">
        <f>B80</f>
        <v>2040</v>
      </c>
      <c r="L72" s="40">
        <f t="shared" ref="L72:Q72" si="60">_xlfn.FORECAST.LINEAR($B$80,L65:L70,$K$65:$K$70)</f>
        <v>34.178363273453094</v>
      </c>
      <c r="M72" s="40">
        <f t="shared" si="60"/>
        <v>68.236007984031943</v>
      </c>
      <c r="N72" s="40">
        <f t="shared" si="60"/>
        <v>135.63841771003447</v>
      </c>
      <c r="O72" s="40">
        <f t="shared" si="60"/>
        <v>214.66874251497006</v>
      </c>
      <c r="P72" s="40">
        <f t="shared" si="60"/>
        <v>278.25916167664667</v>
      </c>
      <c r="Q72" s="40">
        <f t="shared" si="60"/>
        <v>344.68998003992016</v>
      </c>
      <c r="R72" s="123" t="s">
        <v>25</v>
      </c>
    </row>
    <row r="73" spans="1:18" x14ac:dyDescent="0.25">
      <c r="J73" s="123" t="s">
        <v>25</v>
      </c>
      <c r="K73" s="94">
        <f>B79</f>
        <v>9.463519999999999</v>
      </c>
      <c r="L73" s="95">
        <f>_xlfn.FORECAST.LINEAR(K73,L64:Q64,L72:Q72)</f>
        <v>28.979628620563837</v>
      </c>
      <c r="M73" s="125" t="s">
        <v>17</v>
      </c>
    </row>
    <row r="77" spans="1:18" x14ac:dyDescent="0.25">
      <c r="A77" s="49" t="s">
        <v>229</v>
      </c>
      <c r="B77" s="77">
        <v>1670</v>
      </c>
      <c r="C77" s="40" t="s">
        <v>25</v>
      </c>
      <c r="M77" s="125"/>
    </row>
    <row r="78" spans="1:18" x14ac:dyDescent="0.25">
      <c r="B78" s="77">
        <v>1000</v>
      </c>
      <c r="C78" s="40" t="s">
        <v>17</v>
      </c>
      <c r="M78" s="125"/>
    </row>
    <row r="79" spans="1:18" x14ac:dyDescent="0.25">
      <c r="A79" s="40" t="s">
        <v>230</v>
      </c>
      <c r="B79" s="78">
        <f>Q</f>
        <v>9.463519999999999</v>
      </c>
      <c r="C79" s="40" t="s">
        <v>25</v>
      </c>
      <c r="M79" s="125"/>
    </row>
    <row r="80" spans="1:18" x14ac:dyDescent="0.25">
      <c r="A80" s="40" t="s">
        <v>231</v>
      </c>
      <c r="B80" s="78">
        <f>Pavg</f>
        <v>2040</v>
      </c>
      <c r="C80" s="40">
        <v>1000</v>
      </c>
      <c r="D80" s="40" t="s">
        <v>232</v>
      </c>
      <c r="M80" s="125"/>
    </row>
    <row r="81" spans="1:10" x14ac:dyDescent="0.25">
      <c r="A81" s="40" t="s">
        <v>233</v>
      </c>
      <c r="B81" s="77">
        <v>0</v>
      </c>
      <c r="C81" s="40" t="s">
        <v>234</v>
      </c>
      <c r="E81" s="40" t="s">
        <v>235</v>
      </c>
    </row>
    <row r="82" spans="1:10" x14ac:dyDescent="0.25">
      <c r="A82" s="40" t="s">
        <v>236</v>
      </c>
      <c r="B82" s="77">
        <f>L73</f>
        <v>28.979628620563837</v>
      </c>
    </row>
    <row r="83" spans="1:10" x14ac:dyDescent="0.25">
      <c r="A83" s="40" t="s">
        <v>237</v>
      </c>
      <c r="B83" s="77">
        <f>(1+(B80/C80*B81))*B82</f>
        <v>28.979628620563837</v>
      </c>
    </row>
    <row r="84" spans="1:10" x14ac:dyDescent="0.25">
      <c r="A84" s="40" t="s">
        <v>238</v>
      </c>
    </row>
    <row r="85" spans="1:10" x14ac:dyDescent="0.25">
      <c r="A85" s="79" t="s">
        <v>176</v>
      </c>
      <c r="E85" s="123" t="s">
        <v>239</v>
      </c>
      <c r="H85" s="40" t="s">
        <v>240</v>
      </c>
    </row>
    <row r="86" spans="1:10" x14ac:dyDescent="0.25">
      <c r="A86" s="80" t="s">
        <v>17</v>
      </c>
      <c r="B86" s="77">
        <v>0.1</v>
      </c>
      <c r="C86" s="81">
        <f>B11</f>
        <v>100</v>
      </c>
      <c r="D86" s="80">
        <f>B18</f>
        <v>200</v>
      </c>
      <c r="E86" s="80">
        <f>B25</f>
        <v>400</v>
      </c>
      <c r="F86" s="80">
        <f>B32</f>
        <v>600</v>
      </c>
      <c r="G86" s="80">
        <f>B39</f>
        <v>800</v>
      </c>
      <c r="H86" s="80">
        <f>B46</f>
        <v>1000</v>
      </c>
      <c r="I86" s="40">
        <f>H86*10</f>
        <v>10000</v>
      </c>
    </row>
    <row r="87" spans="1:10" x14ac:dyDescent="0.25">
      <c r="A87" s="82">
        <f>Q3</f>
        <v>0</v>
      </c>
      <c r="B87" s="77">
        <f>$J$7</f>
        <v>0.22999999999999998</v>
      </c>
      <c r="C87" s="41">
        <f>F11</f>
        <v>7.17</v>
      </c>
      <c r="D87" s="43">
        <f>F18</f>
        <v>8.4499999999999993</v>
      </c>
      <c r="E87" s="43">
        <f t="shared" ref="E87:E92" si="61">F25</f>
        <v>18.579999999999998</v>
      </c>
      <c r="F87" s="43">
        <f t="shared" ref="F87:F92" si="62">F32</f>
        <v>24.58</v>
      </c>
      <c r="G87" s="43">
        <f t="shared" ref="G87:G92" si="63">F39</f>
        <v>31.119999999999997</v>
      </c>
      <c r="H87" s="43">
        <f t="shared" ref="H87:H92" si="64">F46</f>
        <v>40.870000000000005</v>
      </c>
      <c r="I87" s="40">
        <f t="shared" ref="I87:I92" si="65">H87*10</f>
        <v>408.70000000000005</v>
      </c>
      <c r="J87" s="94">
        <f t="shared" ref="J87:J92" ca="1" si="66">_xlfn.FORECAST.LINEAR(__RPM1,OFFSET(B87:H87,0,MATCH(__RPM1,$B$86:$H$86,1)-1,1,2),OFFSET($B$86:$H$86,0,MATCH(__RPM1,$B$86:$H$86,1)-1,1,2))</f>
        <v>2.2362524787458762</v>
      </c>
    </row>
    <row r="88" spans="1:10" x14ac:dyDescent="0.25">
      <c r="A88" s="82">
        <f t="shared" ref="A88:A91" si="67">Q4</f>
        <v>500</v>
      </c>
      <c r="B88" s="77">
        <f t="shared" ref="B88:B92" si="68">$J$7</f>
        <v>0.22999999999999998</v>
      </c>
      <c r="C88" s="41">
        <f>E12</f>
        <v>9.58</v>
      </c>
      <c r="D88" s="43">
        <f>E19</f>
        <v>13.68</v>
      </c>
      <c r="E88" s="43">
        <f t="shared" si="61"/>
        <v>27.07</v>
      </c>
      <c r="F88" s="43">
        <f t="shared" si="62"/>
        <v>35.470000000000006</v>
      </c>
      <c r="G88" s="43">
        <f t="shared" si="63"/>
        <v>46.42</v>
      </c>
      <c r="H88" s="43">
        <f t="shared" si="64"/>
        <v>57.466000000000001</v>
      </c>
      <c r="I88" s="40">
        <f t="shared" si="65"/>
        <v>574.66</v>
      </c>
      <c r="J88" s="94">
        <f t="shared" ca="1" si="66"/>
        <v>2.9329482242469664</v>
      </c>
    </row>
    <row r="89" spans="1:10" x14ac:dyDescent="0.25">
      <c r="A89" s="82">
        <f t="shared" si="67"/>
        <v>1000</v>
      </c>
      <c r="B89" s="77">
        <f t="shared" si="68"/>
        <v>0.22999999999999998</v>
      </c>
      <c r="C89" s="41">
        <f>E13</f>
        <v>12</v>
      </c>
      <c r="D89" s="43">
        <f>E20</f>
        <v>18.759999999999998</v>
      </c>
      <c r="E89" s="43">
        <f t="shared" si="61"/>
        <v>34.270000000000003</v>
      </c>
      <c r="F89" s="43">
        <f t="shared" si="62"/>
        <v>47.02</v>
      </c>
      <c r="G89" s="43">
        <f t="shared" si="63"/>
        <v>61.87</v>
      </c>
      <c r="H89" s="43">
        <f t="shared" si="64"/>
        <v>74.710000000000008</v>
      </c>
      <c r="I89" s="40">
        <f t="shared" si="65"/>
        <v>747.10000000000014</v>
      </c>
      <c r="J89" s="94">
        <f t="shared" ca="1" si="66"/>
        <v>3.6325348234638284</v>
      </c>
    </row>
    <row r="90" spans="1:10" x14ac:dyDescent="0.25">
      <c r="A90" s="82">
        <f t="shared" si="67"/>
        <v>3000</v>
      </c>
      <c r="B90" s="77">
        <f t="shared" si="68"/>
        <v>0.22999999999999998</v>
      </c>
      <c r="C90" s="41">
        <f>E14</f>
        <v>21</v>
      </c>
      <c r="D90" s="43">
        <f>E21</f>
        <v>41.32</v>
      </c>
      <c r="E90" s="43">
        <f t="shared" si="61"/>
        <v>64.27</v>
      </c>
      <c r="F90" s="43">
        <f t="shared" si="62"/>
        <v>81.739230769230758</v>
      </c>
      <c r="G90" s="43">
        <f t="shared" si="63"/>
        <v>101.05</v>
      </c>
      <c r="H90" s="43">
        <f t="shared" si="64"/>
        <v>124.69</v>
      </c>
      <c r="I90" s="40">
        <f t="shared" si="65"/>
        <v>1246.9000000000001</v>
      </c>
      <c r="J90" s="94">
        <f t="shared" ca="1" si="66"/>
        <v>6.2343031676587692</v>
      </c>
    </row>
    <row r="91" spans="1:10" x14ac:dyDescent="0.25">
      <c r="A91" s="82">
        <f t="shared" si="67"/>
        <v>4000</v>
      </c>
      <c r="B91" s="77">
        <f t="shared" si="68"/>
        <v>0.22999999999999998</v>
      </c>
      <c r="C91" s="41">
        <f>E15</f>
        <v>25.1</v>
      </c>
      <c r="D91" s="43">
        <f>E22</f>
        <v>46.28</v>
      </c>
      <c r="E91" s="43">
        <f t="shared" si="61"/>
        <v>72.67</v>
      </c>
      <c r="F91" s="43">
        <f t="shared" si="62"/>
        <v>91.749999999999986</v>
      </c>
      <c r="G91" s="43">
        <f t="shared" si="63"/>
        <v>116.95</v>
      </c>
      <c r="H91" s="43">
        <f t="shared" si="64"/>
        <v>125.77</v>
      </c>
      <c r="I91" s="40">
        <f t="shared" si="65"/>
        <v>1257.7</v>
      </c>
      <c r="J91" s="94">
        <f t="shared" ca="1" si="66"/>
        <v>7.4195531911253543</v>
      </c>
    </row>
    <row r="92" spans="1:10" x14ac:dyDescent="0.25">
      <c r="A92" s="82">
        <f>Q8+0.1</f>
        <v>5000.1000000000004</v>
      </c>
      <c r="B92" s="77">
        <f t="shared" si="68"/>
        <v>0.22999999999999998</v>
      </c>
      <c r="C92" s="41">
        <f>E16</f>
        <v>26.36</v>
      </c>
      <c r="D92" s="43">
        <f>E23</f>
        <v>49</v>
      </c>
      <c r="E92" s="43">
        <f t="shared" si="61"/>
        <v>78.789999999999992</v>
      </c>
      <c r="F92" s="43">
        <f t="shared" si="62"/>
        <v>101.13842105263157</v>
      </c>
      <c r="G92" s="43">
        <f t="shared" si="63"/>
        <v>124.27000000000001</v>
      </c>
      <c r="H92" s="43">
        <f t="shared" si="64"/>
        <v>153.85000000000002</v>
      </c>
      <c r="I92" s="40">
        <f t="shared" si="65"/>
        <v>1538.5000000000002</v>
      </c>
      <c r="J92" s="94">
        <f t="shared" ca="1" si="66"/>
        <v>7.783800759312645</v>
      </c>
    </row>
    <row r="95" spans="1:10" x14ac:dyDescent="0.25">
      <c r="A95" s="40" t="s">
        <v>241</v>
      </c>
      <c r="B95" s="84">
        <f>B83</f>
        <v>28.979628620563837</v>
      </c>
      <c r="C95" s="40" t="s">
        <v>17</v>
      </c>
    </row>
    <row r="96" spans="1:10" x14ac:dyDescent="0.25">
      <c r="A96" s="40" t="s">
        <v>242</v>
      </c>
      <c r="B96" s="84">
        <f>B80</f>
        <v>2040</v>
      </c>
      <c r="C96" s="40" t="s">
        <v>165</v>
      </c>
    </row>
    <row r="97" spans="1:3" x14ac:dyDescent="0.25">
      <c r="A97" s="40" t="s">
        <v>243</v>
      </c>
      <c r="B97" s="85">
        <f ca="1">_xlfn.FORECAST.LINEAR(Press1,OFFSET(J87:J92,MATCH(Press1,A87:A92,1)-1,0,2),OFFSET(A87:A92,MATCH(Press1,A87:A92,1)-1,0,2))</f>
        <v>4.9854543624451981</v>
      </c>
      <c r="C97" s="40" t="s">
        <v>18</v>
      </c>
    </row>
  </sheetData>
  <mergeCells count="3">
    <mergeCell ref="C9:E9"/>
    <mergeCell ref="F9:H9"/>
    <mergeCell ref="L9:N9"/>
  </mergeCells>
  <pageMargins left="0.70866141732283472" right="0.70866141732283472" top="0.74803149606299213" bottom="0.74803149606299213" header="0.31496062992125984" footer="0.31496062992125984"/>
  <pageSetup scale="63" orientation="landscape" r:id="rId1"/>
  <rowBreaks count="1" manualBreakCount="1">
    <brk id="54" max="1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3E7D9-7CDA-440A-B950-14E5A5F263E9}">
  <sheetPr>
    <tabColor rgb="FF00B0F0"/>
  </sheetPr>
  <dimension ref="A1:AA97"/>
  <sheetViews>
    <sheetView topLeftCell="A64" workbookViewId="0">
      <selection activeCell="B81" sqref="B81"/>
    </sheetView>
  </sheetViews>
  <sheetFormatPr defaultColWidth="9.140625" defaultRowHeight="15" x14ac:dyDescent="0.25"/>
  <cols>
    <col min="1" max="1" width="14.7109375" style="40" customWidth="1"/>
    <col min="2" max="2" width="11.28515625" style="77" customWidth="1"/>
    <col min="3" max="3" width="12.42578125" style="40" customWidth="1"/>
    <col min="4" max="4" width="19.140625" style="40" customWidth="1"/>
    <col min="5" max="5" width="13.7109375" style="40" customWidth="1"/>
    <col min="6" max="6" width="14.85546875" style="40" customWidth="1"/>
    <col min="7" max="7" width="13.140625" style="40" customWidth="1"/>
    <col min="8" max="8" width="9.140625" style="40"/>
    <col min="9" max="9" width="12.140625" style="40" customWidth="1"/>
    <col min="10" max="10" width="10.5703125" style="40" customWidth="1"/>
    <col min="11" max="11" width="12" style="40" customWidth="1"/>
    <col min="12" max="12" width="9.140625" style="40" customWidth="1"/>
    <col min="13" max="13" width="9.140625" style="44"/>
    <col min="14" max="16384" width="9.140625" style="40"/>
  </cols>
  <sheetData>
    <row r="1" spans="1:27" x14ac:dyDescent="0.25">
      <c r="B1" s="41" t="s">
        <v>195</v>
      </c>
      <c r="C1" s="42">
        <v>44302</v>
      </c>
      <c r="D1" s="128" t="s">
        <v>196</v>
      </c>
      <c r="E1" s="43"/>
      <c r="F1" s="43"/>
      <c r="M1" s="125"/>
    </row>
    <row r="2" spans="1:27" ht="21" x14ac:dyDescent="0.35">
      <c r="A2" s="45" t="s">
        <v>197</v>
      </c>
      <c r="B2" s="46"/>
      <c r="C2" s="45"/>
      <c r="D2" s="45"/>
      <c r="E2" s="45"/>
      <c r="F2" s="45"/>
      <c r="G2" s="45"/>
      <c r="H2" s="45"/>
      <c r="I2" s="45"/>
      <c r="J2" s="45"/>
      <c r="K2" s="45"/>
      <c r="L2" s="45"/>
      <c r="M2" s="40"/>
      <c r="P2" s="47" t="s">
        <v>198</v>
      </c>
      <c r="Q2" s="49" t="s">
        <v>199</v>
      </c>
    </row>
    <row r="3" spans="1:27" x14ac:dyDescent="0.25">
      <c r="A3" s="47" t="s">
        <v>200</v>
      </c>
      <c r="B3" s="150"/>
      <c r="C3" s="150" t="s">
        <v>201</v>
      </c>
      <c r="D3" s="47"/>
      <c r="E3" s="47"/>
      <c r="F3" s="47"/>
      <c r="G3" s="48"/>
      <c r="H3" s="43"/>
      <c r="I3" s="49"/>
      <c r="K3" s="49"/>
      <c r="L3" s="49"/>
      <c r="M3" s="40"/>
      <c r="P3" s="47">
        <v>20</v>
      </c>
      <c r="Q3" s="47">
        <v>0</v>
      </c>
    </row>
    <row r="4" spans="1:27" x14ac:dyDescent="0.25">
      <c r="A4" s="150" t="s">
        <v>204</v>
      </c>
      <c r="B4" s="150"/>
      <c r="C4" s="150">
        <v>0.375</v>
      </c>
      <c r="D4" s="150"/>
      <c r="E4" s="150"/>
      <c r="F4" s="150"/>
      <c r="G4" s="51" t="s">
        <v>205</v>
      </c>
      <c r="H4" s="222" t="s">
        <v>355</v>
      </c>
      <c r="I4" s="223"/>
      <c r="J4" s="224" t="s">
        <v>18</v>
      </c>
      <c r="K4" s="225"/>
      <c r="L4" s="224"/>
      <c r="M4" s="226"/>
      <c r="N4" s="223"/>
      <c r="O4" s="47"/>
      <c r="P4" s="47">
        <f>(P$8-P$3)/5+P3</f>
        <v>136</v>
      </c>
      <c r="Q4" s="47">
        <v>100</v>
      </c>
    </row>
    <row r="5" spans="1:27" x14ac:dyDescent="0.25">
      <c r="A5" s="150" t="s">
        <v>206</v>
      </c>
      <c r="B5" s="150"/>
      <c r="C5" s="150">
        <v>25.9</v>
      </c>
      <c r="D5" s="150"/>
      <c r="E5" s="150"/>
      <c r="F5" s="150"/>
      <c r="G5" s="52" t="s">
        <v>207</v>
      </c>
      <c r="H5" s="227">
        <v>73.5</v>
      </c>
      <c r="I5" s="225"/>
      <c r="J5" s="223">
        <f>H5/1000*25</f>
        <v>1.8374999999999999</v>
      </c>
      <c r="K5" s="228" t="s">
        <v>357</v>
      </c>
      <c r="L5" s="223"/>
      <c r="M5" s="226"/>
      <c r="N5" s="223"/>
      <c r="O5" s="47"/>
      <c r="P5" s="47">
        <f t="shared" ref="P5:P7" si="0">(P$8-P$3)/5+P4</f>
        <v>252</v>
      </c>
      <c r="Q5" s="47">
        <v>500</v>
      </c>
    </row>
    <row r="6" spans="1:27" x14ac:dyDescent="0.25">
      <c r="A6" s="150" t="s">
        <v>208</v>
      </c>
      <c r="B6" s="150"/>
      <c r="C6" s="150">
        <f>0.15</f>
        <v>0.15</v>
      </c>
      <c r="D6" s="150"/>
      <c r="E6" s="150"/>
      <c r="F6" s="150"/>
      <c r="G6" s="51" t="s">
        <v>209</v>
      </c>
      <c r="H6" s="227">
        <v>64.3</v>
      </c>
      <c r="I6" s="225"/>
      <c r="J6" s="223">
        <f>H6/1000*25</f>
        <v>1.6074999999999999</v>
      </c>
      <c r="K6" s="228" t="s">
        <v>357</v>
      </c>
      <c r="L6" s="223"/>
      <c r="M6" s="226"/>
      <c r="N6" s="223"/>
      <c r="O6" s="47"/>
      <c r="P6" s="47">
        <f t="shared" si="0"/>
        <v>368</v>
      </c>
      <c r="Q6" s="47">
        <v>1000</v>
      </c>
    </row>
    <row r="7" spans="1:27" x14ac:dyDescent="0.25">
      <c r="A7" s="53" t="s">
        <v>210</v>
      </c>
      <c r="B7" s="150"/>
      <c r="C7" s="150" t="s">
        <v>211</v>
      </c>
      <c r="D7" s="150"/>
      <c r="E7" s="150"/>
      <c r="F7" s="150"/>
      <c r="H7" s="223"/>
      <c r="I7" s="223" t="s">
        <v>212</v>
      </c>
      <c r="J7" s="224">
        <f>J5-J6</f>
        <v>0.22999999999999998</v>
      </c>
      <c r="K7" s="224" t="s">
        <v>18</v>
      </c>
      <c r="L7" s="228" t="s">
        <v>356</v>
      </c>
      <c r="M7" s="226"/>
      <c r="N7" s="223"/>
      <c r="O7" s="47"/>
      <c r="P7" s="47">
        <f t="shared" si="0"/>
        <v>484</v>
      </c>
      <c r="Q7" s="47">
        <v>2000</v>
      </c>
    </row>
    <row r="8" spans="1:27" ht="15.75" thickBot="1" x14ac:dyDescent="0.3">
      <c r="A8" s="53" t="s">
        <v>213</v>
      </c>
      <c r="B8" s="150"/>
      <c r="C8" s="148" t="s">
        <v>214</v>
      </c>
      <c r="D8" s="53"/>
      <c r="E8" s="53"/>
      <c r="F8" s="53"/>
      <c r="G8" s="40" t="s">
        <v>215</v>
      </c>
      <c r="J8" s="50"/>
      <c r="K8" s="50"/>
      <c r="L8" s="50"/>
      <c r="M8" s="151"/>
      <c r="O8" s="54"/>
      <c r="P8" s="54">
        <v>600</v>
      </c>
      <c r="Q8" s="71">
        <v>3000</v>
      </c>
    </row>
    <row r="9" spans="1:27" x14ac:dyDescent="0.25">
      <c r="A9" s="47" t="s">
        <v>176</v>
      </c>
      <c r="C9" s="285" t="s">
        <v>216</v>
      </c>
      <c r="D9" s="286"/>
      <c r="E9" s="287"/>
      <c r="F9" s="288" t="s">
        <v>217</v>
      </c>
      <c r="G9" s="288"/>
      <c r="H9" s="288"/>
      <c r="I9" s="55"/>
      <c r="J9" s="56" t="s">
        <v>218</v>
      </c>
      <c r="K9" s="57" t="s">
        <v>219</v>
      </c>
      <c r="L9" s="289"/>
      <c r="M9" s="290"/>
      <c r="N9" s="290"/>
      <c r="O9" s="58"/>
      <c r="P9" s="59"/>
      <c r="Z9" s="40">
        <v>10</v>
      </c>
      <c r="AA9" s="40">
        <f t="shared" ref="AA9:AA14" si="1">Z9/400*600</f>
        <v>15</v>
      </c>
    </row>
    <row r="10" spans="1:27" ht="15.75" thickBot="1" x14ac:dyDescent="0.3">
      <c r="A10" s="150" t="s">
        <v>220</v>
      </c>
      <c r="B10" s="150" t="s">
        <v>17</v>
      </c>
      <c r="C10" s="53" t="s">
        <v>202</v>
      </c>
      <c r="D10" s="50" t="s">
        <v>221</v>
      </c>
      <c r="E10" s="61" t="s">
        <v>18</v>
      </c>
      <c r="F10" s="62" t="s">
        <v>222</v>
      </c>
      <c r="G10" s="53" t="s">
        <v>223</v>
      </c>
      <c r="H10" s="53" t="s">
        <v>224</v>
      </c>
      <c r="I10" s="64" t="s">
        <v>225</v>
      </c>
      <c r="J10" s="60" t="s">
        <v>18</v>
      </c>
      <c r="K10" s="63" t="s">
        <v>226</v>
      </c>
      <c r="L10" s="63"/>
      <c r="M10" s="65" t="s">
        <v>227</v>
      </c>
      <c r="N10" s="66"/>
      <c r="O10" s="67"/>
      <c r="P10" s="68"/>
      <c r="Q10" s="69"/>
      <c r="R10" s="70"/>
      <c r="S10" s="70"/>
      <c r="Z10" s="40">
        <v>50</v>
      </c>
      <c r="AA10" s="40">
        <f t="shared" si="1"/>
        <v>75</v>
      </c>
    </row>
    <row r="11" spans="1:27" x14ac:dyDescent="0.25">
      <c r="A11" s="74">
        <f>Q3</f>
        <v>0</v>
      </c>
      <c r="B11" s="150">
        <f>P$3</f>
        <v>20</v>
      </c>
      <c r="C11" s="43"/>
      <c r="D11" s="43">
        <v>1</v>
      </c>
      <c r="E11" s="133">
        <f>60/D11*C11/1000</f>
        <v>0</v>
      </c>
      <c r="F11" s="100">
        <f>E11-$J$7</f>
        <v>-0.22999999999999998</v>
      </c>
      <c r="G11" s="24">
        <v>60</v>
      </c>
      <c r="H11" s="24">
        <v>7.5</v>
      </c>
      <c r="I11" s="72">
        <f t="shared" ref="I11:I16" si="2">60*H11/G11</f>
        <v>7.5</v>
      </c>
      <c r="J11" s="101">
        <f t="shared" ref="J11:J16" si="3">I11/100*A11/100*0.8</f>
        <v>0</v>
      </c>
      <c r="K11" s="136" t="e">
        <f t="shared" ref="K11:K15" si="4">J11/E11</f>
        <v>#DIV/0!</v>
      </c>
      <c r="L11" s="41"/>
      <c r="M11" s="137"/>
      <c r="N11" s="73"/>
      <c r="O11" s="43"/>
      <c r="P11" s="43"/>
      <c r="Q11" s="69"/>
      <c r="R11" s="70"/>
      <c r="S11" s="70"/>
    </row>
    <row r="12" spans="1:27" x14ac:dyDescent="0.25">
      <c r="A12" s="74">
        <f t="shared" ref="A12:A16" si="5">Q4</f>
        <v>100</v>
      </c>
      <c r="B12" s="150">
        <f t="shared" ref="B12:B16" si="6">P$3</f>
        <v>20</v>
      </c>
      <c r="C12" s="43">
        <v>78</v>
      </c>
      <c r="D12" s="43">
        <v>1</v>
      </c>
      <c r="E12" s="133">
        <f t="shared" ref="E12:E16" si="7">60/D12*C12/1000</f>
        <v>4.68</v>
      </c>
      <c r="F12" s="100">
        <f t="shared" ref="F12:F16" si="8">E12-$J$7</f>
        <v>4.4499999999999993</v>
      </c>
      <c r="G12" s="24">
        <v>60</v>
      </c>
      <c r="H12" s="24">
        <v>7.5</v>
      </c>
      <c r="I12" s="72">
        <f t="shared" si="2"/>
        <v>7.5</v>
      </c>
      <c r="J12" s="101">
        <f t="shared" si="3"/>
        <v>0.06</v>
      </c>
      <c r="K12" s="136">
        <f t="shared" si="4"/>
        <v>1.282051282051282E-2</v>
      </c>
      <c r="L12" s="41"/>
      <c r="M12" s="137">
        <f>I12/$I$12</f>
        <v>1</v>
      </c>
      <c r="N12" s="73"/>
      <c r="O12" s="43"/>
      <c r="P12" s="43"/>
      <c r="Z12" s="40">
        <v>100</v>
      </c>
      <c r="AA12" s="40">
        <f t="shared" si="1"/>
        <v>150</v>
      </c>
    </row>
    <row r="13" spans="1:27" x14ac:dyDescent="0.25">
      <c r="A13" s="74">
        <f t="shared" si="5"/>
        <v>500</v>
      </c>
      <c r="B13" s="150">
        <f t="shared" si="6"/>
        <v>20</v>
      </c>
      <c r="C13" s="43">
        <v>85</v>
      </c>
      <c r="D13" s="43">
        <v>1</v>
      </c>
      <c r="E13" s="133">
        <f t="shared" si="7"/>
        <v>5.0999999999999996</v>
      </c>
      <c r="F13" s="100">
        <f t="shared" si="8"/>
        <v>4.8699999999999992</v>
      </c>
      <c r="G13" s="24">
        <v>60</v>
      </c>
      <c r="H13" s="24">
        <v>7.5</v>
      </c>
      <c r="I13" s="72">
        <f t="shared" si="2"/>
        <v>7.5</v>
      </c>
      <c r="J13" s="101">
        <f t="shared" si="3"/>
        <v>0.30000000000000004</v>
      </c>
      <c r="K13" s="136">
        <f t="shared" si="4"/>
        <v>5.8823529411764719E-2</v>
      </c>
      <c r="L13" s="41"/>
      <c r="M13" s="137">
        <f>I13/$I$12</f>
        <v>1</v>
      </c>
      <c r="N13" s="73"/>
      <c r="O13" s="43"/>
      <c r="P13" s="43"/>
      <c r="Z13" s="40">
        <v>200</v>
      </c>
      <c r="AA13" s="40">
        <f t="shared" si="1"/>
        <v>300</v>
      </c>
    </row>
    <row r="14" spans="1:27" x14ac:dyDescent="0.25">
      <c r="A14" s="74">
        <f t="shared" si="5"/>
        <v>1000</v>
      </c>
      <c r="B14" s="150">
        <f t="shared" si="6"/>
        <v>20</v>
      </c>
      <c r="C14" s="43">
        <v>101</v>
      </c>
      <c r="D14" s="43">
        <v>1</v>
      </c>
      <c r="E14" s="133">
        <f t="shared" si="7"/>
        <v>6.06</v>
      </c>
      <c r="F14" s="100">
        <f t="shared" si="8"/>
        <v>5.83</v>
      </c>
      <c r="G14" s="24">
        <v>60</v>
      </c>
      <c r="H14" s="24">
        <v>6.5</v>
      </c>
      <c r="I14" s="72">
        <f t="shared" si="2"/>
        <v>6.5</v>
      </c>
      <c r="J14" s="101">
        <f t="shared" si="3"/>
        <v>0.52</v>
      </c>
      <c r="K14" s="136">
        <f t="shared" si="4"/>
        <v>8.580858085808582E-2</v>
      </c>
      <c r="L14" s="41"/>
      <c r="M14" s="137">
        <f>I14/$I$12</f>
        <v>0.8666666666666667</v>
      </c>
      <c r="N14" s="73"/>
      <c r="O14" s="43"/>
      <c r="P14" s="43"/>
      <c r="Z14" s="40">
        <v>300</v>
      </c>
      <c r="AA14" s="40">
        <f t="shared" si="1"/>
        <v>450</v>
      </c>
    </row>
    <row r="15" spans="1:27" x14ac:dyDescent="0.25">
      <c r="A15" s="74">
        <f t="shared" si="5"/>
        <v>2000</v>
      </c>
      <c r="B15" s="150">
        <f t="shared" si="6"/>
        <v>20</v>
      </c>
      <c r="C15" s="43">
        <v>148</v>
      </c>
      <c r="D15" s="43">
        <v>1</v>
      </c>
      <c r="E15" s="133">
        <f t="shared" si="7"/>
        <v>8.8800000000000008</v>
      </c>
      <c r="F15" s="100">
        <f t="shared" si="8"/>
        <v>8.65</v>
      </c>
      <c r="G15" s="24">
        <v>60</v>
      </c>
      <c r="H15" s="24">
        <v>6</v>
      </c>
      <c r="I15" s="72">
        <f t="shared" si="2"/>
        <v>6</v>
      </c>
      <c r="J15" s="101">
        <f t="shared" si="3"/>
        <v>0.96</v>
      </c>
      <c r="K15" s="136">
        <f t="shared" si="4"/>
        <v>0.1081081081081081</v>
      </c>
      <c r="L15" s="41"/>
      <c r="M15" s="137">
        <f>I15/$I$12</f>
        <v>0.8</v>
      </c>
      <c r="N15" s="73"/>
      <c r="O15" s="43"/>
      <c r="P15" s="43"/>
      <c r="Z15" s="40">
        <v>400</v>
      </c>
      <c r="AA15" s="40">
        <f>Z15/400*600</f>
        <v>600</v>
      </c>
    </row>
    <row r="16" spans="1:27" x14ac:dyDescent="0.25">
      <c r="A16" s="74">
        <f t="shared" si="5"/>
        <v>3000</v>
      </c>
      <c r="B16" s="150">
        <f t="shared" si="6"/>
        <v>20</v>
      </c>
      <c r="C16" s="43">
        <v>207</v>
      </c>
      <c r="D16" s="43">
        <v>1</v>
      </c>
      <c r="E16" s="133">
        <f t="shared" si="7"/>
        <v>12.42</v>
      </c>
      <c r="F16" s="100">
        <f t="shared" si="8"/>
        <v>12.19</v>
      </c>
      <c r="G16" s="24">
        <v>60</v>
      </c>
      <c r="H16" s="24">
        <v>6</v>
      </c>
      <c r="I16" s="72">
        <f t="shared" si="2"/>
        <v>6</v>
      </c>
      <c r="J16" s="101">
        <f t="shared" si="3"/>
        <v>1.4400000000000002</v>
      </c>
      <c r="K16" s="136">
        <f>J16/E16</f>
        <v>0.11594202898550726</v>
      </c>
      <c r="L16" s="41"/>
      <c r="M16" s="137">
        <f>I16/$I$12</f>
        <v>0.8</v>
      </c>
      <c r="N16" s="73"/>
      <c r="O16" s="43"/>
      <c r="P16" s="43"/>
    </row>
    <row r="17" spans="1:27" x14ac:dyDescent="0.25">
      <c r="A17" s="74"/>
      <c r="B17" s="74"/>
      <c r="C17" s="43"/>
      <c r="D17" s="43"/>
      <c r="E17" s="133"/>
      <c r="F17" s="100"/>
      <c r="G17" s="24"/>
      <c r="H17" s="24"/>
      <c r="I17" s="72"/>
      <c r="J17" s="101"/>
      <c r="K17" s="41"/>
      <c r="L17" s="41"/>
      <c r="M17" s="137"/>
      <c r="N17" s="73"/>
      <c r="O17" s="43"/>
      <c r="P17" s="43"/>
    </row>
    <row r="18" spans="1:27" x14ac:dyDescent="0.25">
      <c r="A18" s="74">
        <f>Q3</f>
        <v>0</v>
      </c>
      <c r="B18" s="74">
        <f>P$4</f>
        <v>136</v>
      </c>
      <c r="C18" s="43">
        <v>187</v>
      </c>
      <c r="D18" s="43">
        <v>1</v>
      </c>
      <c r="E18" s="133">
        <f>60/D18*C18/1000</f>
        <v>11.22</v>
      </c>
      <c r="F18" s="100">
        <f>E18-$J$7</f>
        <v>10.99</v>
      </c>
      <c r="G18" s="24">
        <v>60</v>
      </c>
      <c r="H18" s="24">
        <v>46</v>
      </c>
      <c r="I18" s="72">
        <f t="shared" ref="I18:I22" si="9">60*H18/G18</f>
        <v>46</v>
      </c>
      <c r="J18" s="101">
        <f t="shared" ref="J18:J23" si="10">I18/100*A18/100*0.8</f>
        <v>0</v>
      </c>
      <c r="K18" s="136">
        <f t="shared" ref="K18:K22" si="11">J18/E18</f>
        <v>0</v>
      </c>
      <c r="L18" s="41"/>
      <c r="M18" s="137"/>
      <c r="N18" s="73"/>
      <c r="O18" s="43"/>
      <c r="P18" s="43"/>
      <c r="Q18" s="69"/>
      <c r="R18" s="70"/>
      <c r="S18" s="70"/>
    </row>
    <row r="19" spans="1:27" x14ac:dyDescent="0.25">
      <c r="A19" s="74">
        <f t="shared" ref="A19:A23" si="12">Q4</f>
        <v>100</v>
      </c>
      <c r="B19" s="74">
        <f t="shared" ref="B19:B23" si="13">P$4</f>
        <v>136</v>
      </c>
      <c r="C19" s="43">
        <v>206</v>
      </c>
      <c r="D19" s="43">
        <v>1</v>
      </c>
      <c r="E19" s="133">
        <f t="shared" ref="E19:E23" si="14">60/D19*C19/1000</f>
        <v>12.36</v>
      </c>
      <c r="F19" s="100">
        <f t="shared" ref="F19:F23" si="15">E19-$J$7</f>
        <v>12.129999999999999</v>
      </c>
      <c r="G19" s="24">
        <v>60</v>
      </c>
      <c r="H19" s="24">
        <v>45</v>
      </c>
      <c r="I19" s="72">
        <f t="shared" si="9"/>
        <v>45</v>
      </c>
      <c r="J19" s="101">
        <f t="shared" si="10"/>
        <v>0.36000000000000004</v>
      </c>
      <c r="K19" s="136">
        <f t="shared" si="11"/>
        <v>2.9126213592233014E-2</v>
      </c>
      <c r="L19" s="41"/>
      <c r="M19" s="137">
        <f t="shared" ref="M19:M24" si="16">I19/$I$19</f>
        <v>1</v>
      </c>
      <c r="N19" s="73"/>
      <c r="O19" s="43"/>
      <c r="P19" s="43"/>
      <c r="Z19" s="40">
        <v>100</v>
      </c>
      <c r="AA19" s="40">
        <f t="shared" ref="AA19:AA21" si="17">Z19/400*600</f>
        <v>150</v>
      </c>
    </row>
    <row r="20" spans="1:27" x14ac:dyDescent="0.25">
      <c r="A20" s="74">
        <f t="shared" si="12"/>
        <v>500</v>
      </c>
      <c r="B20" s="74">
        <f t="shared" si="13"/>
        <v>136</v>
      </c>
      <c r="C20" s="43">
        <v>233</v>
      </c>
      <c r="D20" s="43">
        <v>1</v>
      </c>
      <c r="E20" s="133">
        <f t="shared" si="14"/>
        <v>13.98</v>
      </c>
      <c r="F20" s="100">
        <f t="shared" si="15"/>
        <v>13.75</v>
      </c>
      <c r="G20" s="24">
        <v>60</v>
      </c>
      <c r="H20" s="24">
        <v>44</v>
      </c>
      <c r="I20" s="72">
        <f t="shared" si="9"/>
        <v>44</v>
      </c>
      <c r="J20" s="101">
        <f t="shared" si="10"/>
        <v>1.7600000000000002</v>
      </c>
      <c r="K20" s="136">
        <f t="shared" si="11"/>
        <v>0.12589413447782546</v>
      </c>
      <c r="L20" s="41"/>
      <c r="M20" s="137">
        <f t="shared" si="16"/>
        <v>0.97777777777777775</v>
      </c>
      <c r="N20" s="73"/>
      <c r="O20" s="43"/>
      <c r="P20" s="43"/>
      <c r="Z20" s="40">
        <v>200</v>
      </c>
      <c r="AA20" s="40">
        <f t="shared" si="17"/>
        <v>300</v>
      </c>
    </row>
    <row r="21" spans="1:27" x14ac:dyDescent="0.25">
      <c r="A21" s="74">
        <f t="shared" si="12"/>
        <v>1000</v>
      </c>
      <c r="B21" s="74">
        <f t="shared" si="13"/>
        <v>136</v>
      </c>
      <c r="C21" s="43">
        <v>264</v>
      </c>
      <c r="D21" s="43">
        <v>1</v>
      </c>
      <c r="E21" s="133">
        <f t="shared" si="14"/>
        <v>15.84</v>
      </c>
      <c r="F21" s="100">
        <f t="shared" si="15"/>
        <v>15.61</v>
      </c>
      <c r="G21" s="24">
        <v>60</v>
      </c>
      <c r="H21" s="24">
        <v>43</v>
      </c>
      <c r="I21" s="72">
        <f t="shared" si="9"/>
        <v>43</v>
      </c>
      <c r="J21" s="101">
        <f t="shared" si="10"/>
        <v>3.44</v>
      </c>
      <c r="K21" s="136">
        <f t="shared" si="11"/>
        <v>0.21717171717171718</v>
      </c>
      <c r="L21" s="41"/>
      <c r="M21" s="137">
        <f t="shared" si="16"/>
        <v>0.9555555555555556</v>
      </c>
      <c r="N21" s="73"/>
      <c r="O21" s="43"/>
      <c r="P21" s="43"/>
      <c r="Z21" s="40">
        <v>300</v>
      </c>
      <c r="AA21" s="40">
        <f t="shared" si="17"/>
        <v>450</v>
      </c>
    </row>
    <row r="22" spans="1:27" x14ac:dyDescent="0.25">
      <c r="A22" s="74">
        <f t="shared" si="12"/>
        <v>2000</v>
      </c>
      <c r="B22" s="74">
        <f t="shared" si="13"/>
        <v>136</v>
      </c>
      <c r="C22" s="43">
        <v>369</v>
      </c>
      <c r="D22" s="43">
        <v>1</v>
      </c>
      <c r="E22" s="133">
        <f t="shared" si="14"/>
        <v>22.14</v>
      </c>
      <c r="F22" s="100">
        <f t="shared" si="15"/>
        <v>21.91</v>
      </c>
      <c r="G22" s="24">
        <v>60</v>
      </c>
      <c r="H22" s="24">
        <v>42</v>
      </c>
      <c r="I22" s="72">
        <f t="shared" si="9"/>
        <v>42</v>
      </c>
      <c r="J22" s="101">
        <f t="shared" si="10"/>
        <v>6.7200000000000006</v>
      </c>
      <c r="K22" s="136">
        <f t="shared" si="11"/>
        <v>0.30352303523035234</v>
      </c>
      <c r="L22" s="41"/>
      <c r="M22" s="137">
        <f t="shared" si="16"/>
        <v>0.93333333333333335</v>
      </c>
      <c r="N22" s="73"/>
      <c r="O22" s="43"/>
      <c r="P22" s="43"/>
      <c r="Z22" s="40">
        <v>400</v>
      </c>
      <c r="AA22" s="40">
        <f>Z22/400*600</f>
        <v>600</v>
      </c>
    </row>
    <row r="23" spans="1:27" x14ac:dyDescent="0.25">
      <c r="A23" s="74">
        <f t="shared" si="12"/>
        <v>3000</v>
      </c>
      <c r="B23" s="74">
        <f t="shared" si="13"/>
        <v>136</v>
      </c>
      <c r="C23" s="43">
        <v>482</v>
      </c>
      <c r="D23" s="43">
        <v>1</v>
      </c>
      <c r="E23" s="133">
        <f t="shared" si="14"/>
        <v>28.92</v>
      </c>
      <c r="F23" s="100">
        <f t="shared" si="15"/>
        <v>28.69</v>
      </c>
      <c r="G23" s="24">
        <v>60</v>
      </c>
      <c r="H23" s="24">
        <v>40</v>
      </c>
      <c r="I23" s="72">
        <f>60*H23/G23</f>
        <v>40</v>
      </c>
      <c r="J23" s="101">
        <f t="shared" si="10"/>
        <v>9.6000000000000014</v>
      </c>
      <c r="K23" s="136">
        <f>J23/E23</f>
        <v>0.33195020746887971</v>
      </c>
      <c r="L23" s="41"/>
      <c r="M23" s="137">
        <f t="shared" si="16"/>
        <v>0.88888888888888884</v>
      </c>
      <c r="N23" s="73"/>
      <c r="O23" s="43"/>
      <c r="P23" s="43"/>
    </row>
    <row r="24" spans="1:27" x14ac:dyDescent="0.25">
      <c r="A24" s="150"/>
      <c r="B24" s="150"/>
      <c r="C24" s="43"/>
      <c r="D24" s="43"/>
      <c r="E24" s="133"/>
      <c r="F24" s="100"/>
      <c r="G24" s="24"/>
      <c r="H24" s="24"/>
      <c r="I24" s="72"/>
      <c r="J24" s="101"/>
      <c r="K24" s="41"/>
      <c r="L24" s="41"/>
      <c r="M24" s="137">
        <f t="shared" si="16"/>
        <v>0</v>
      </c>
      <c r="N24" s="73"/>
      <c r="O24" s="43"/>
      <c r="P24" s="43"/>
    </row>
    <row r="25" spans="1:27" x14ac:dyDescent="0.25">
      <c r="A25" s="150">
        <f>Q3</f>
        <v>0</v>
      </c>
      <c r="B25" s="150">
        <f>P$5</f>
        <v>252</v>
      </c>
      <c r="C25" s="43">
        <v>297</v>
      </c>
      <c r="D25" s="112">
        <v>1</v>
      </c>
      <c r="E25" s="133">
        <f>60/D25*C25/1000</f>
        <v>17.82</v>
      </c>
      <c r="F25" s="100">
        <f>E25-$J$7</f>
        <v>17.59</v>
      </c>
      <c r="G25" s="24">
        <v>60</v>
      </c>
      <c r="H25" s="24">
        <v>85</v>
      </c>
      <c r="I25" s="72">
        <f t="shared" ref="I25:I30" si="18">60*H25/G25</f>
        <v>85</v>
      </c>
      <c r="J25" s="101">
        <f t="shared" ref="J25:J30" si="19">I25/100*A25/100*0.8</f>
        <v>0</v>
      </c>
      <c r="K25" s="136">
        <f t="shared" ref="K25:K29" si="20">J25/E25</f>
        <v>0</v>
      </c>
      <c r="L25" s="41"/>
      <c r="M25" s="137"/>
      <c r="N25" s="73"/>
      <c r="O25" s="43"/>
      <c r="P25" s="43"/>
      <c r="Q25" s="69"/>
      <c r="R25" s="70"/>
      <c r="S25" s="70"/>
    </row>
    <row r="26" spans="1:27" x14ac:dyDescent="0.25">
      <c r="A26" s="150">
        <f t="shared" ref="A26:A30" si="21">Q4</f>
        <v>100</v>
      </c>
      <c r="B26" s="150">
        <f t="shared" ref="B26:B30" si="22">P$5</f>
        <v>252</v>
      </c>
      <c r="C26" s="43">
        <v>323</v>
      </c>
      <c r="D26" s="112">
        <v>1</v>
      </c>
      <c r="E26" s="133">
        <f t="shared" ref="E26:E30" si="23">60/D26*C26/1000</f>
        <v>19.38</v>
      </c>
      <c r="F26" s="100">
        <f t="shared" ref="F26:F30" si="24">E26-$J$7</f>
        <v>19.149999999999999</v>
      </c>
      <c r="G26" s="24">
        <v>60</v>
      </c>
      <c r="H26" s="24">
        <v>83</v>
      </c>
      <c r="I26" s="72">
        <f t="shared" si="18"/>
        <v>83</v>
      </c>
      <c r="J26" s="101">
        <f t="shared" si="19"/>
        <v>0.66400000000000003</v>
      </c>
      <c r="K26" s="136">
        <f t="shared" si="20"/>
        <v>3.4262125902992782E-2</v>
      </c>
      <c r="L26" s="41"/>
      <c r="M26" s="137">
        <f>I26/$I$26</f>
        <v>1</v>
      </c>
      <c r="N26" s="73"/>
      <c r="O26" s="43"/>
      <c r="P26" s="43"/>
      <c r="Z26" s="40">
        <v>100</v>
      </c>
      <c r="AA26" s="40">
        <f t="shared" ref="AA26:AA28" si="25">Z26/400*600</f>
        <v>150</v>
      </c>
    </row>
    <row r="27" spans="1:27" x14ac:dyDescent="0.25">
      <c r="A27" s="150">
        <f t="shared" si="21"/>
        <v>500</v>
      </c>
      <c r="B27" s="150">
        <f t="shared" si="22"/>
        <v>252</v>
      </c>
      <c r="C27" s="43">
        <v>369</v>
      </c>
      <c r="D27" s="112">
        <v>1</v>
      </c>
      <c r="E27" s="133">
        <f t="shared" si="23"/>
        <v>22.14</v>
      </c>
      <c r="F27" s="100">
        <f t="shared" si="24"/>
        <v>21.91</v>
      </c>
      <c r="G27" s="24">
        <v>60</v>
      </c>
      <c r="H27" s="24">
        <v>82</v>
      </c>
      <c r="I27" s="72">
        <f t="shared" si="18"/>
        <v>82</v>
      </c>
      <c r="J27" s="101">
        <f t="shared" si="19"/>
        <v>3.28</v>
      </c>
      <c r="K27" s="136">
        <f t="shared" si="20"/>
        <v>0.14814814814814814</v>
      </c>
      <c r="L27" s="41"/>
      <c r="M27" s="137">
        <f t="shared" ref="M27:M30" si="26">I27/$I$26</f>
        <v>0.98795180722891562</v>
      </c>
      <c r="N27" s="73"/>
      <c r="O27" s="43"/>
      <c r="P27" s="43"/>
      <c r="Z27" s="40">
        <v>200</v>
      </c>
      <c r="AA27" s="40">
        <f t="shared" si="25"/>
        <v>300</v>
      </c>
    </row>
    <row r="28" spans="1:27" x14ac:dyDescent="0.25">
      <c r="A28" s="150">
        <f t="shared" si="21"/>
        <v>1000</v>
      </c>
      <c r="B28" s="150">
        <f t="shared" si="22"/>
        <v>252</v>
      </c>
      <c r="C28" s="43">
        <v>435</v>
      </c>
      <c r="D28" s="112">
        <v>1</v>
      </c>
      <c r="E28" s="133">
        <f t="shared" si="23"/>
        <v>26.1</v>
      </c>
      <c r="F28" s="100">
        <f t="shared" si="24"/>
        <v>25.87</v>
      </c>
      <c r="G28" s="24">
        <v>60</v>
      </c>
      <c r="H28" s="24">
        <v>80</v>
      </c>
      <c r="I28" s="72">
        <f t="shared" si="18"/>
        <v>80</v>
      </c>
      <c r="J28" s="101">
        <f t="shared" si="19"/>
        <v>6.4</v>
      </c>
      <c r="K28" s="136">
        <f t="shared" si="20"/>
        <v>0.24521072796934865</v>
      </c>
      <c r="L28" s="41"/>
      <c r="M28" s="137">
        <f t="shared" si="26"/>
        <v>0.96385542168674698</v>
      </c>
      <c r="N28" s="73"/>
      <c r="O28" s="43"/>
      <c r="P28" s="43"/>
      <c r="Z28" s="40">
        <v>300</v>
      </c>
      <c r="AA28" s="40">
        <f t="shared" si="25"/>
        <v>450</v>
      </c>
    </row>
    <row r="29" spans="1:27" x14ac:dyDescent="0.25">
      <c r="A29" s="150">
        <f t="shared" si="21"/>
        <v>2000</v>
      </c>
      <c r="B29" s="150">
        <f t="shared" si="22"/>
        <v>252</v>
      </c>
      <c r="C29" s="43">
        <v>584</v>
      </c>
      <c r="D29" s="112">
        <v>1</v>
      </c>
      <c r="E29" s="133">
        <f t="shared" si="23"/>
        <v>35.04</v>
      </c>
      <c r="F29" s="100">
        <f t="shared" si="24"/>
        <v>34.81</v>
      </c>
      <c r="G29" s="24">
        <v>60</v>
      </c>
      <c r="H29" s="24">
        <v>76</v>
      </c>
      <c r="I29" s="72">
        <f t="shared" si="18"/>
        <v>76</v>
      </c>
      <c r="J29" s="101">
        <f t="shared" si="19"/>
        <v>12.16</v>
      </c>
      <c r="K29" s="136">
        <f t="shared" si="20"/>
        <v>0.34703196347031967</v>
      </c>
      <c r="L29" s="41"/>
      <c r="M29" s="137">
        <f t="shared" si="26"/>
        <v>0.91566265060240959</v>
      </c>
      <c r="N29" s="73"/>
      <c r="O29" s="43"/>
      <c r="P29" s="43"/>
      <c r="Z29" s="40">
        <v>400</v>
      </c>
      <c r="AA29" s="40">
        <f>Z29/400*600</f>
        <v>600</v>
      </c>
    </row>
    <row r="30" spans="1:27" x14ac:dyDescent="0.25">
      <c r="A30" s="150">
        <f t="shared" si="21"/>
        <v>3000</v>
      </c>
      <c r="B30" s="150">
        <f t="shared" si="22"/>
        <v>252</v>
      </c>
      <c r="C30" s="43">
        <v>751</v>
      </c>
      <c r="D30" s="112">
        <v>1</v>
      </c>
      <c r="E30" s="133">
        <f t="shared" si="23"/>
        <v>45.06</v>
      </c>
      <c r="F30" s="100">
        <f t="shared" si="24"/>
        <v>44.830000000000005</v>
      </c>
      <c r="G30" s="24">
        <v>60</v>
      </c>
      <c r="H30" s="24">
        <v>75</v>
      </c>
      <c r="I30" s="72">
        <f t="shared" si="18"/>
        <v>75</v>
      </c>
      <c r="J30" s="101">
        <f t="shared" si="19"/>
        <v>18</v>
      </c>
      <c r="K30" s="136">
        <f>J30/E30</f>
        <v>0.39946737683089212</v>
      </c>
      <c r="L30" s="41"/>
      <c r="M30" s="137">
        <f t="shared" si="26"/>
        <v>0.90361445783132532</v>
      </c>
      <c r="N30" s="73"/>
      <c r="O30" s="43"/>
      <c r="P30" s="43"/>
    </row>
    <row r="31" spans="1:27" x14ac:dyDescent="0.25">
      <c r="A31" s="74"/>
      <c r="B31" s="150"/>
      <c r="C31" s="43"/>
      <c r="D31" s="43"/>
      <c r="E31" s="133"/>
      <c r="F31" s="100"/>
      <c r="G31" s="24"/>
      <c r="H31" s="24"/>
      <c r="I31" s="72"/>
      <c r="J31" s="101"/>
      <c r="K31" s="41"/>
      <c r="L31" s="41"/>
      <c r="M31" s="137"/>
      <c r="N31" s="73"/>
      <c r="O31" s="43"/>
      <c r="P31" s="43"/>
    </row>
    <row r="32" spans="1:27" x14ac:dyDescent="0.25">
      <c r="A32" s="150">
        <f>Q3</f>
        <v>0</v>
      </c>
      <c r="B32" s="150">
        <f>P$6</f>
        <v>368</v>
      </c>
      <c r="C32" s="43">
        <v>411</v>
      </c>
      <c r="D32" s="112">
        <v>1</v>
      </c>
      <c r="E32" s="133">
        <f>60/D32*C32/1000</f>
        <v>24.66</v>
      </c>
      <c r="F32" s="100">
        <f>E32-$J$7</f>
        <v>24.43</v>
      </c>
      <c r="G32" s="24">
        <v>60</v>
      </c>
      <c r="H32" s="24">
        <v>125</v>
      </c>
      <c r="I32" s="72">
        <f t="shared" ref="I32:I37" si="27">60*H32/G32</f>
        <v>125</v>
      </c>
      <c r="J32" s="101">
        <f t="shared" ref="J32:J37" si="28">I32/100*A32/100*0.8</f>
        <v>0</v>
      </c>
      <c r="K32" s="136">
        <f t="shared" ref="K32:K36" si="29">J32/E32</f>
        <v>0</v>
      </c>
      <c r="L32" s="41"/>
      <c r="M32" s="137"/>
      <c r="N32" s="73"/>
      <c r="O32" s="43"/>
      <c r="P32" s="43"/>
      <c r="Q32" s="69"/>
      <c r="R32" s="70"/>
      <c r="S32" s="70"/>
    </row>
    <row r="33" spans="1:27" x14ac:dyDescent="0.25">
      <c r="A33" s="150">
        <f t="shared" ref="A33:A37" si="30">Q4</f>
        <v>100</v>
      </c>
      <c r="B33" s="150">
        <f t="shared" ref="B33:B37" si="31">P$6</f>
        <v>368</v>
      </c>
      <c r="C33" s="43">
        <v>441</v>
      </c>
      <c r="D33" s="112">
        <v>1</v>
      </c>
      <c r="E33" s="133">
        <f t="shared" ref="E33:E37" si="32">60/D33*C33/1000</f>
        <v>26.46</v>
      </c>
      <c r="F33" s="100">
        <f t="shared" ref="F33:F37" si="33">E33-$J$7</f>
        <v>26.23</v>
      </c>
      <c r="G33" s="24">
        <v>60</v>
      </c>
      <c r="H33" s="24">
        <v>125</v>
      </c>
      <c r="I33" s="72">
        <f t="shared" si="27"/>
        <v>125</v>
      </c>
      <c r="J33" s="101">
        <f t="shared" si="28"/>
        <v>1</v>
      </c>
      <c r="K33" s="136">
        <f t="shared" si="29"/>
        <v>3.779289493575208E-2</v>
      </c>
      <c r="L33" s="41"/>
      <c r="M33" s="137">
        <f>I33/$I$33</f>
        <v>1</v>
      </c>
      <c r="N33" s="73"/>
      <c r="O33" s="43"/>
      <c r="P33" s="43"/>
      <c r="Z33" s="40">
        <v>100</v>
      </c>
      <c r="AA33" s="40">
        <f t="shared" ref="AA33:AA35" si="34">Z33/400*600</f>
        <v>150</v>
      </c>
    </row>
    <row r="34" spans="1:27" x14ac:dyDescent="0.25">
      <c r="A34" s="150">
        <f t="shared" si="30"/>
        <v>500</v>
      </c>
      <c r="B34" s="150">
        <f t="shared" si="31"/>
        <v>368</v>
      </c>
      <c r="C34" s="43">
        <v>498</v>
      </c>
      <c r="D34" s="112">
        <v>1</v>
      </c>
      <c r="E34" s="133">
        <f t="shared" si="32"/>
        <v>29.88</v>
      </c>
      <c r="F34" s="100">
        <f t="shared" si="33"/>
        <v>29.65</v>
      </c>
      <c r="G34" s="24">
        <v>60</v>
      </c>
      <c r="H34" s="24">
        <v>120</v>
      </c>
      <c r="I34" s="72">
        <f t="shared" si="27"/>
        <v>120</v>
      </c>
      <c r="J34" s="101">
        <f t="shared" si="28"/>
        <v>4.8000000000000007</v>
      </c>
      <c r="K34" s="136">
        <f t="shared" si="29"/>
        <v>0.16064257028112452</v>
      </c>
      <c r="L34" s="41"/>
      <c r="M34" s="137">
        <f t="shared" ref="M34:M37" si="35">I34/$I$33</f>
        <v>0.96</v>
      </c>
      <c r="N34" s="73"/>
      <c r="O34" s="43"/>
      <c r="P34" s="43"/>
      <c r="Z34" s="40">
        <v>200</v>
      </c>
      <c r="AA34" s="40">
        <f t="shared" si="34"/>
        <v>300</v>
      </c>
    </row>
    <row r="35" spans="1:27" x14ac:dyDescent="0.25">
      <c r="A35" s="150">
        <f t="shared" si="30"/>
        <v>1000</v>
      </c>
      <c r="B35" s="150">
        <f t="shared" si="31"/>
        <v>368</v>
      </c>
      <c r="C35" s="43">
        <v>591</v>
      </c>
      <c r="D35" s="112">
        <v>1</v>
      </c>
      <c r="E35" s="133">
        <f t="shared" si="32"/>
        <v>35.46</v>
      </c>
      <c r="F35" s="100">
        <f t="shared" si="33"/>
        <v>35.230000000000004</v>
      </c>
      <c r="G35" s="24">
        <v>60</v>
      </c>
      <c r="H35" s="24">
        <v>120</v>
      </c>
      <c r="I35" s="72">
        <f t="shared" si="27"/>
        <v>120</v>
      </c>
      <c r="J35" s="101">
        <f t="shared" si="28"/>
        <v>9.6000000000000014</v>
      </c>
      <c r="K35" s="136">
        <f t="shared" si="29"/>
        <v>0.27072758037225048</v>
      </c>
      <c r="L35" s="41"/>
      <c r="M35" s="137">
        <f t="shared" si="35"/>
        <v>0.96</v>
      </c>
      <c r="N35" s="73"/>
      <c r="O35" s="43"/>
      <c r="P35" s="43"/>
      <c r="Z35" s="40">
        <v>300</v>
      </c>
      <c r="AA35" s="40">
        <f t="shared" si="34"/>
        <v>450</v>
      </c>
    </row>
    <row r="36" spans="1:27" x14ac:dyDescent="0.25">
      <c r="A36" s="150">
        <f t="shared" si="30"/>
        <v>2000</v>
      </c>
      <c r="B36" s="150">
        <f t="shared" si="31"/>
        <v>368</v>
      </c>
      <c r="C36" s="43">
        <v>815</v>
      </c>
      <c r="D36" s="112">
        <v>1</v>
      </c>
      <c r="E36" s="133">
        <f t="shared" si="32"/>
        <v>48.9</v>
      </c>
      <c r="F36" s="100">
        <f t="shared" si="33"/>
        <v>48.67</v>
      </c>
      <c r="G36" s="24">
        <v>60</v>
      </c>
      <c r="H36" s="24">
        <v>110</v>
      </c>
      <c r="I36" s="72">
        <f t="shared" si="27"/>
        <v>110</v>
      </c>
      <c r="J36" s="101">
        <f t="shared" si="28"/>
        <v>17.600000000000001</v>
      </c>
      <c r="K36" s="136">
        <f t="shared" si="29"/>
        <v>0.35991820040899797</v>
      </c>
      <c r="L36" s="41"/>
      <c r="M36" s="137">
        <f t="shared" si="35"/>
        <v>0.88</v>
      </c>
      <c r="N36" s="73"/>
      <c r="O36" s="43"/>
      <c r="P36" s="43"/>
      <c r="Z36" s="40">
        <v>400</v>
      </c>
      <c r="AA36" s="40">
        <f>Z36/400*600</f>
        <v>600</v>
      </c>
    </row>
    <row r="37" spans="1:27" x14ac:dyDescent="0.25">
      <c r="A37" s="150">
        <f t="shared" si="30"/>
        <v>3000</v>
      </c>
      <c r="B37" s="150">
        <f t="shared" si="31"/>
        <v>368</v>
      </c>
      <c r="C37" s="43">
        <v>1025</v>
      </c>
      <c r="D37" s="112">
        <v>1</v>
      </c>
      <c r="E37" s="133">
        <f t="shared" si="32"/>
        <v>61.5</v>
      </c>
      <c r="F37" s="100">
        <f t="shared" si="33"/>
        <v>61.27</v>
      </c>
      <c r="G37" s="24">
        <v>60</v>
      </c>
      <c r="H37" s="24">
        <v>110</v>
      </c>
      <c r="I37" s="72">
        <f t="shared" si="27"/>
        <v>110</v>
      </c>
      <c r="J37" s="101">
        <f t="shared" si="28"/>
        <v>26.400000000000006</v>
      </c>
      <c r="K37" s="136">
        <f>J37/E37</f>
        <v>0.42926829268292693</v>
      </c>
      <c r="L37" s="41"/>
      <c r="M37" s="137">
        <f t="shared" si="35"/>
        <v>0.88</v>
      </c>
      <c r="N37" s="73"/>
      <c r="O37" s="43"/>
      <c r="P37" s="43"/>
    </row>
    <row r="38" spans="1:27" x14ac:dyDescent="0.25">
      <c r="A38" s="150"/>
      <c r="B38" s="150"/>
      <c r="C38" s="43"/>
      <c r="D38" s="43"/>
      <c r="E38" s="133"/>
      <c r="F38" s="100"/>
      <c r="G38" s="24"/>
      <c r="H38" s="24"/>
      <c r="I38" s="72"/>
      <c r="J38" s="101"/>
      <c r="K38" s="41"/>
      <c r="L38" s="41"/>
      <c r="M38" s="137"/>
      <c r="N38" s="73"/>
      <c r="O38" s="43"/>
      <c r="P38" s="43"/>
    </row>
    <row r="39" spans="1:27" x14ac:dyDescent="0.25">
      <c r="A39" s="150">
        <f>Q3</f>
        <v>0</v>
      </c>
      <c r="B39" s="150">
        <f>P$7</f>
        <v>484</v>
      </c>
      <c r="C39" s="43">
        <v>526</v>
      </c>
      <c r="D39" s="112">
        <v>1</v>
      </c>
      <c r="E39" s="133">
        <f>60/D39*C39/1000</f>
        <v>31.56</v>
      </c>
      <c r="F39" s="100">
        <f>E39-$J$7</f>
        <v>31.33</v>
      </c>
      <c r="G39" s="24">
        <v>60</v>
      </c>
      <c r="H39" s="24">
        <v>165</v>
      </c>
      <c r="I39" s="72">
        <f t="shared" ref="I39:I44" si="36">60*H39/G39</f>
        <v>165</v>
      </c>
      <c r="J39" s="101">
        <f t="shared" ref="J39:J44" si="37">I39/100*A39/100*0.8</f>
        <v>0</v>
      </c>
      <c r="K39" s="136">
        <f t="shared" ref="K39:K43" si="38">J39/E39</f>
        <v>0</v>
      </c>
      <c r="L39" s="41"/>
      <c r="M39" s="137"/>
      <c r="N39" s="73"/>
      <c r="O39" s="43"/>
      <c r="P39" s="43"/>
      <c r="Q39" s="69"/>
      <c r="R39" s="70"/>
      <c r="S39" s="70"/>
    </row>
    <row r="40" spans="1:27" x14ac:dyDescent="0.25">
      <c r="A40" s="150">
        <f t="shared" ref="A40:A44" si="39">Q4</f>
        <v>100</v>
      </c>
      <c r="B40" s="150">
        <f t="shared" ref="B40:B44" si="40">P$7</f>
        <v>484</v>
      </c>
      <c r="C40" s="43">
        <v>574</v>
      </c>
      <c r="D40" s="112">
        <v>1</v>
      </c>
      <c r="E40" s="133">
        <f t="shared" ref="E40:E44" si="41">60/D40*C40/1000</f>
        <v>34.44</v>
      </c>
      <c r="F40" s="100">
        <f t="shared" ref="F40:F44" si="42">E40-$J$7</f>
        <v>34.21</v>
      </c>
      <c r="G40" s="24">
        <v>60</v>
      </c>
      <c r="H40" s="24">
        <v>165</v>
      </c>
      <c r="I40" s="72">
        <f t="shared" si="36"/>
        <v>165</v>
      </c>
      <c r="J40" s="101">
        <f t="shared" si="37"/>
        <v>1.32</v>
      </c>
      <c r="K40" s="136">
        <f t="shared" si="38"/>
        <v>3.8327526132404185E-2</v>
      </c>
      <c r="L40" s="41"/>
      <c r="M40" s="137">
        <f>I40/$I$40</f>
        <v>1</v>
      </c>
      <c r="N40" s="73"/>
      <c r="O40" s="43"/>
      <c r="P40" s="43"/>
      <c r="Z40" s="40">
        <v>100</v>
      </c>
      <c r="AA40" s="40">
        <f t="shared" ref="AA40:AA42" si="43">Z40/400*600</f>
        <v>150</v>
      </c>
    </row>
    <row r="41" spans="1:27" x14ac:dyDescent="0.25">
      <c r="A41" s="150">
        <f t="shared" si="39"/>
        <v>500</v>
      </c>
      <c r="B41" s="150">
        <f t="shared" si="40"/>
        <v>484</v>
      </c>
      <c r="C41" s="43">
        <v>658</v>
      </c>
      <c r="D41" s="112">
        <v>1</v>
      </c>
      <c r="E41" s="133">
        <f t="shared" si="41"/>
        <v>39.479999999999997</v>
      </c>
      <c r="F41" s="100">
        <f t="shared" si="42"/>
        <v>39.25</v>
      </c>
      <c r="G41" s="24">
        <v>60</v>
      </c>
      <c r="H41" s="24">
        <v>160</v>
      </c>
      <c r="I41" s="72">
        <f t="shared" si="36"/>
        <v>160</v>
      </c>
      <c r="J41" s="101">
        <f t="shared" si="37"/>
        <v>6.4</v>
      </c>
      <c r="K41" s="136">
        <f t="shared" si="38"/>
        <v>0.16210739614994937</v>
      </c>
      <c r="L41" s="41"/>
      <c r="M41" s="137">
        <f t="shared" ref="M41:M44" si="44">I41/$I$40</f>
        <v>0.96969696969696972</v>
      </c>
      <c r="N41" s="73"/>
      <c r="O41" s="43"/>
      <c r="P41" s="43"/>
      <c r="Z41" s="40">
        <v>200</v>
      </c>
      <c r="AA41" s="40">
        <f t="shared" si="43"/>
        <v>300</v>
      </c>
    </row>
    <row r="42" spans="1:27" x14ac:dyDescent="0.25">
      <c r="A42" s="150">
        <f t="shared" si="39"/>
        <v>1000</v>
      </c>
      <c r="B42" s="150">
        <f t="shared" si="40"/>
        <v>484</v>
      </c>
      <c r="C42" s="43">
        <v>796</v>
      </c>
      <c r="D42" s="112">
        <v>1</v>
      </c>
      <c r="E42" s="133">
        <f t="shared" si="41"/>
        <v>47.76</v>
      </c>
      <c r="F42" s="100">
        <f t="shared" si="42"/>
        <v>47.53</v>
      </c>
      <c r="G42" s="24">
        <v>60</v>
      </c>
      <c r="H42" s="24">
        <v>155</v>
      </c>
      <c r="I42" s="72">
        <f t="shared" si="36"/>
        <v>155</v>
      </c>
      <c r="J42" s="101">
        <f t="shared" si="37"/>
        <v>12.4</v>
      </c>
      <c r="K42" s="136">
        <f t="shared" si="38"/>
        <v>0.25963149078726971</v>
      </c>
      <c r="L42" s="41"/>
      <c r="M42" s="137">
        <f t="shared" si="44"/>
        <v>0.93939393939393945</v>
      </c>
      <c r="N42" s="73"/>
      <c r="O42" s="43"/>
      <c r="P42" s="43"/>
      <c r="Z42" s="40">
        <v>300</v>
      </c>
      <c r="AA42" s="40">
        <f t="shared" si="43"/>
        <v>450</v>
      </c>
    </row>
    <row r="43" spans="1:27" x14ac:dyDescent="0.25">
      <c r="A43" s="150">
        <f t="shared" si="39"/>
        <v>2000</v>
      </c>
      <c r="B43" s="150">
        <f t="shared" si="40"/>
        <v>484</v>
      </c>
      <c r="C43" s="43">
        <v>1056</v>
      </c>
      <c r="D43" s="112">
        <v>1</v>
      </c>
      <c r="E43" s="133">
        <f t="shared" si="41"/>
        <v>63.36</v>
      </c>
      <c r="F43" s="100">
        <f t="shared" si="42"/>
        <v>63.13</v>
      </c>
      <c r="G43" s="24">
        <v>60</v>
      </c>
      <c r="H43" s="24">
        <v>150</v>
      </c>
      <c r="I43" s="72">
        <f t="shared" si="36"/>
        <v>150</v>
      </c>
      <c r="J43" s="101">
        <f t="shared" si="37"/>
        <v>24</v>
      </c>
      <c r="K43" s="136">
        <f t="shared" si="38"/>
        <v>0.37878787878787878</v>
      </c>
      <c r="L43" s="41"/>
      <c r="M43" s="137">
        <f t="shared" si="44"/>
        <v>0.90909090909090906</v>
      </c>
      <c r="N43" s="73"/>
      <c r="O43" s="43"/>
      <c r="P43" s="43"/>
      <c r="Z43" s="40">
        <v>400</v>
      </c>
      <c r="AA43" s="40">
        <f>Z43/400*600</f>
        <v>600</v>
      </c>
    </row>
    <row r="44" spans="1:27" x14ac:dyDescent="0.25">
      <c r="A44" s="150">
        <f t="shared" si="39"/>
        <v>3000</v>
      </c>
      <c r="B44" s="150">
        <f t="shared" si="40"/>
        <v>484</v>
      </c>
      <c r="C44" s="43">
        <v>1284</v>
      </c>
      <c r="D44" s="112">
        <v>1</v>
      </c>
      <c r="E44" s="133">
        <f t="shared" si="41"/>
        <v>77.040000000000006</v>
      </c>
      <c r="F44" s="100">
        <f t="shared" si="42"/>
        <v>76.81</v>
      </c>
      <c r="G44" s="24">
        <v>60</v>
      </c>
      <c r="H44" s="24">
        <v>145</v>
      </c>
      <c r="I44" s="72">
        <f t="shared" si="36"/>
        <v>145</v>
      </c>
      <c r="J44" s="101">
        <f t="shared" si="37"/>
        <v>34.800000000000004</v>
      </c>
      <c r="K44" s="136">
        <f>J44/E44</f>
        <v>0.45171339563862928</v>
      </c>
      <c r="L44" s="41"/>
      <c r="M44" s="137">
        <f t="shared" si="44"/>
        <v>0.87878787878787878</v>
      </c>
      <c r="N44" s="73"/>
      <c r="O44" s="43"/>
      <c r="P44" s="43"/>
    </row>
    <row r="45" spans="1:27" x14ac:dyDescent="0.25">
      <c r="A45" s="74"/>
      <c r="B45" s="150"/>
      <c r="C45" s="43"/>
      <c r="D45" s="112"/>
      <c r="E45" s="133"/>
      <c r="F45" s="100"/>
      <c r="G45" s="24"/>
      <c r="H45" s="24"/>
      <c r="I45" s="72"/>
      <c r="J45" s="101"/>
      <c r="K45" s="41"/>
      <c r="L45" s="41"/>
      <c r="M45" s="137"/>
      <c r="N45" s="73"/>
      <c r="O45" s="43"/>
      <c r="P45" s="43"/>
    </row>
    <row r="46" spans="1:27" x14ac:dyDescent="0.25">
      <c r="A46" s="150">
        <f>Q3</f>
        <v>0</v>
      </c>
      <c r="B46" s="150">
        <f>P$8</f>
        <v>600</v>
      </c>
      <c r="C46" s="43">
        <v>673</v>
      </c>
      <c r="D46" s="112">
        <v>1</v>
      </c>
      <c r="E46" s="133">
        <f>60/D46*C46/1000</f>
        <v>40.380000000000003</v>
      </c>
      <c r="F46" s="100">
        <f>E46-$J$7</f>
        <v>40.150000000000006</v>
      </c>
      <c r="G46" s="24">
        <v>60</v>
      </c>
      <c r="H46" s="24">
        <v>205</v>
      </c>
      <c r="I46" s="72">
        <f t="shared" ref="I46:I51" si="45">60*H46/G46</f>
        <v>205</v>
      </c>
      <c r="J46" s="101">
        <f t="shared" ref="J46:J51" si="46">I46/100*A46/100*0.8</f>
        <v>0</v>
      </c>
      <c r="K46" s="136">
        <f t="shared" ref="K46:K50" si="47">J46/E46</f>
        <v>0</v>
      </c>
      <c r="L46" s="41"/>
      <c r="M46" s="137"/>
      <c r="N46" s="73"/>
      <c r="O46" s="43"/>
      <c r="P46" s="43"/>
      <c r="Q46" s="69"/>
      <c r="R46" s="70"/>
      <c r="S46" s="70"/>
    </row>
    <row r="47" spans="1:27" x14ac:dyDescent="0.25">
      <c r="A47" s="150">
        <f t="shared" ref="A47:A51" si="48">Q4</f>
        <v>100</v>
      </c>
      <c r="B47" s="150">
        <f t="shared" ref="B47:B51" si="49">P$8</f>
        <v>600</v>
      </c>
      <c r="C47" s="43">
        <v>733</v>
      </c>
      <c r="D47" s="112">
        <v>1</v>
      </c>
      <c r="E47" s="133">
        <f t="shared" ref="E47:E51" si="50">60/D47*C47/1000</f>
        <v>43.98</v>
      </c>
      <c r="F47" s="100">
        <f t="shared" ref="F47:F51" si="51">E47-$J$7</f>
        <v>43.75</v>
      </c>
      <c r="G47" s="24">
        <v>60</v>
      </c>
      <c r="H47" s="24">
        <v>200</v>
      </c>
      <c r="I47" s="72">
        <f t="shared" si="45"/>
        <v>200</v>
      </c>
      <c r="J47" s="101">
        <f t="shared" si="46"/>
        <v>1.6</v>
      </c>
      <c r="K47" s="136">
        <f t="shared" si="47"/>
        <v>3.6380172805820829E-2</v>
      </c>
      <c r="L47" s="41"/>
      <c r="M47" s="137">
        <f>I47/$I$47</f>
        <v>1</v>
      </c>
      <c r="N47" s="73"/>
      <c r="O47" s="43"/>
      <c r="P47" s="43"/>
      <c r="R47" s="70"/>
      <c r="Z47" s="40">
        <v>100</v>
      </c>
      <c r="AA47" s="40">
        <f t="shared" ref="AA47:AA49" si="52">Z47/400*600</f>
        <v>150</v>
      </c>
    </row>
    <row r="48" spans="1:27" x14ac:dyDescent="0.25">
      <c r="A48" s="150">
        <f t="shared" si="48"/>
        <v>500</v>
      </c>
      <c r="B48" s="150">
        <f t="shared" si="49"/>
        <v>600</v>
      </c>
      <c r="C48" s="43">
        <v>817</v>
      </c>
      <c r="D48" s="112">
        <v>1</v>
      </c>
      <c r="E48" s="133">
        <f t="shared" si="50"/>
        <v>49.02</v>
      </c>
      <c r="F48" s="100">
        <f t="shared" si="51"/>
        <v>48.790000000000006</v>
      </c>
      <c r="G48" s="24">
        <v>60</v>
      </c>
      <c r="H48" s="24">
        <v>200</v>
      </c>
      <c r="I48" s="72">
        <f t="shared" si="45"/>
        <v>200</v>
      </c>
      <c r="J48" s="101">
        <f t="shared" si="46"/>
        <v>8</v>
      </c>
      <c r="K48" s="136">
        <f t="shared" si="47"/>
        <v>0.16319869441044471</v>
      </c>
      <c r="L48" s="41"/>
      <c r="M48" s="137">
        <f t="shared" ref="M48:M51" si="53">I48/$I$47</f>
        <v>1</v>
      </c>
      <c r="N48" s="73"/>
      <c r="O48" s="43"/>
      <c r="P48" s="43"/>
      <c r="R48" s="70"/>
      <c r="Z48" s="40">
        <v>200</v>
      </c>
      <c r="AA48" s="40">
        <f t="shared" si="52"/>
        <v>300</v>
      </c>
    </row>
    <row r="49" spans="1:27" x14ac:dyDescent="0.25">
      <c r="A49" s="150">
        <f t="shared" si="48"/>
        <v>1000</v>
      </c>
      <c r="B49" s="150">
        <f t="shared" si="49"/>
        <v>600</v>
      </c>
      <c r="C49" s="43">
        <v>971</v>
      </c>
      <c r="D49" s="112">
        <v>1</v>
      </c>
      <c r="E49" s="133">
        <f t="shared" si="50"/>
        <v>58.26</v>
      </c>
      <c r="F49" s="100">
        <f t="shared" si="51"/>
        <v>58.03</v>
      </c>
      <c r="G49" s="24">
        <v>60</v>
      </c>
      <c r="H49" s="24">
        <v>195</v>
      </c>
      <c r="I49" s="72">
        <f t="shared" si="45"/>
        <v>195</v>
      </c>
      <c r="J49" s="101">
        <f t="shared" si="46"/>
        <v>15.600000000000001</v>
      </c>
      <c r="K49" s="136">
        <f t="shared" si="47"/>
        <v>0.26776519052523173</v>
      </c>
      <c r="L49" s="41"/>
      <c r="M49" s="137">
        <f t="shared" si="53"/>
        <v>0.97499999999999998</v>
      </c>
      <c r="N49" s="73"/>
      <c r="O49" s="43"/>
      <c r="P49" s="43"/>
      <c r="R49" s="70"/>
      <c r="Z49" s="40">
        <v>300</v>
      </c>
      <c r="AA49" s="40">
        <f t="shared" si="52"/>
        <v>450</v>
      </c>
    </row>
    <row r="50" spans="1:27" x14ac:dyDescent="0.25">
      <c r="A50" s="150">
        <f t="shared" si="48"/>
        <v>2000</v>
      </c>
      <c r="B50" s="150">
        <f t="shared" si="49"/>
        <v>600</v>
      </c>
      <c r="C50" s="43">
        <v>1320</v>
      </c>
      <c r="D50" s="112">
        <v>1</v>
      </c>
      <c r="E50" s="133">
        <f t="shared" si="50"/>
        <v>79.2</v>
      </c>
      <c r="F50" s="100">
        <f t="shared" si="51"/>
        <v>78.97</v>
      </c>
      <c r="G50" s="24">
        <v>60</v>
      </c>
      <c r="H50" s="24">
        <v>185</v>
      </c>
      <c r="I50" s="72">
        <f t="shared" si="45"/>
        <v>185</v>
      </c>
      <c r="J50" s="101">
        <f t="shared" si="46"/>
        <v>29.6</v>
      </c>
      <c r="K50" s="136">
        <f t="shared" si="47"/>
        <v>0.37373737373737376</v>
      </c>
      <c r="L50" s="41"/>
      <c r="M50" s="137">
        <f t="shared" si="53"/>
        <v>0.92500000000000004</v>
      </c>
      <c r="N50" s="73"/>
      <c r="O50" s="43"/>
      <c r="P50" s="43"/>
      <c r="R50" s="70"/>
      <c r="Z50" s="40">
        <v>400</v>
      </c>
      <c r="AA50" s="40">
        <f>Z50/400*600</f>
        <v>600</v>
      </c>
    </row>
    <row r="51" spans="1:27" x14ac:dyDescent="0.25">
      <c r="A51" s="150">
        <f t="shared" si="48"/>
        <v>3000</v>
      </c>
      <c r="B51" s="150">
        <f t="shared" si="49"/>
        <v>600</v>
      </c>
      <c r="C51" s="43">
        <v>1402</v>
      </c>
      <c r="D51" s="112">
        <v>1</v>
      </c>
      <c r="E51" s="133">
        <f t="shared" si="50"/>
        <v>84.12</v>
      </c>
      <c r="F51" s="100">
        <f t="shared" si="51"/>
        <v>83.89</v>
      </c>
      <c r="G51" s="24">
        <v>60</v>
      </c>
      <c r="H51" s="24">
        <f>415-235</f>
        <v>180</v>
      </c>
      <c r="I51" s="72">
        <f t="shared" si="45"/>
        <v>180</v>
      </c>
      <c r="J51" s="101">
        <f t="shared" si="46"/>
        <v>43.2</v>
      </c>
      <c r="K51" s="136">
        <f>J51/E51</f>
        <v>0.51355206847360912</v>
      </c>
      <c r="L51" s="41"/>
      <c r="M51" s="137">
        <f t="shared" si="53"/>
        <v>0.9</v>
      </c>
      <c r="N51" s="73"/>
      <c r="O51" s="43"/>
      <c r="P51" s="43"/>
      <c r="R51" s="70"/>
    </row>
    <row r="52" spans="1:27" x14ac:dyDescent="0.25">
      <c r="A52" s="43"/>
      <c r="B52" s="150"/>
      <c r="C52" s="41"/>
      <c r="D52" s="41"/>
      <c r="E52" s="41"/>
      <c r="F52" s="75"/>
      <c r="G52" s="41"/>
      <c r="H52" s="43"/>
      <c r="I52" s="76"/>
      <c r="J52" s="71"/>
      <c r="K52" s="41"/>
      <c r="L52" s="41"/>
      <c r="M52" s="137"/>
      <c r="N52" s="73"/>
      <c r="O52" s="43"/>
      <c r="P52" s="43"/>
    </row>
    <row r="53" spans="1:27" x14ac:dyDescent="0.25">
      <c r="A53" s="43"/>
      <c r="B53" s="74"/>
      <c r="C53" s="41"/>
      <c r="D53" s="41"/>
      <c r="E53" s="41"/>
      <c r="F53" s="41"/>
      <c r="G53" s="41"/>
      <c r="H53" s="43"/>
      <c r="I53" s="76"/>
      <c r="J53" s="71"/>
      <c r="K53" s="41"/>
      <c r="L53" s="41"/>
      <c r="M53" s="137"/>
      <c r="N53" s="73"/>
      <c r="O53" s="43"/>
      <c r="P53" s="43"/>
    </row>
    <row r="54" spans="1:27" x14ac:dyDescent="0.25">
      <c r="A54" s="43"/>
      <c r="B54" s="150"/>
      <c r="C54" s="41"/>
      <c r="D54" s="41"/>
      <c r="E54" s="41"/>
      <c r="F54" s="41"/>
      <c r="G54" s="41"/>
      <c r="H54" s="43"/>
      <c r="I54" s="76"/>
      <c r="J54" s="71"/>
      <c r="K54" s="41"/>
      <c r="L54" s="41"/>
      <c r="M54" s="137"/>
      <c r="N54" s="73"/>
      <c r="O54" s="43"/>
      <c r="P54" s="43"/>
    </row>
    <row r="55" spans="1:27" x14ac:dyDescent="0.25">
      <c r="A55" s="47"/>
      <c r="B55" s="150"/>
      <c r="C55" s="41"/>
      <c r="D55" s="41"/>
      <c r="E55" s="41"/>
      <c r="F55" s="41"/>
      <c r="G55" s="41"/>
      <c r="H55" s="43"/>
      <c r="I55" s="76"/>
      <c r="J55" s="71"/>
      <c r="K55" s="41"/>
      <c r="L55" s="41"/>
      <c r="M55" s="137"/>
      <c r="N55" s="73"/>
      <c r="O55" s="43"/>
      <c r="P55" s="43"/>
    </row>
    <row r="56" spans="1:27" x14ac:dyDescent="0.25">
      <c r="A56" s="71"/>
      <c r="B56" s="74"/>
      <c r="C56" s="41"/>
      <c r="D56" s="41"/>
      <c r="E56" s="41"/>
      <c r="F56" s="41"/>
      <c r="G56" s="41"/>
      <c r="H56" s="43"/>
      <c r="I56" s="76"/>
      <c r="J56" s="71"/>
      <c r="K56" s="41"/>
      <c r="L56" s="41"/>
      <c r="M56" s="137"/>
      <c r="N56" s="73"/>
      <c r="O56" s="43"/>
      <c r="P56" s="43"/>
    </row>
    <row r="57" spans="1:27" x14ac:dyDescent="0.25">
      <c r="A57" s="47"/>
      <c r="B57" s="150"/>
      <c r="C57" s="41"/>
      <c r="D57" s="41"/>
      <c r="E57" s="41"/>
      <c r="F57" s="41"/>
      <c r="G57" s="41"/>
      <c r="H57" s="43"/>
      <c r="I57" s="43"/>
      <c r="J57" s="47"/>
      <c r="K57" s="41"/>
      <c r="L57" s="41"/>
      <c r="M57" s="137"/>
      <c r="N57" s="73"/>
      <c r="O57" s="43"/>
      <c r="P57" s="43"/>
    </row>
    <row r="58" spans="1:27" x14ac:dyDescent="0.25">
      <c r="A58" s="47"/>
      <c r="B58" s="150"/>
      <c r="C58" s="41"/>
      <c r="D58" s="41"/>
      <c r="E58" s="41"/>
      <c r="F58" s="41"/>
      <c r="G58" s="136"/>
      <c r="H58" s="43"/>
      <c r="I58" s="43"/>
      <c r="J58" s="47"/>
      <c r="K58" s="41"/>
      <c r="L58" s="41"/>
      <c r="M58" s="137"/>
      <c r="N58" s="73"/>
      <c r="O58" s="43"/>
      <c r="P58" s="43"/>
    </row>
    <row r="59" spans="1:27" x14ac:dyDescent="0.25">
      <c r="A59" s="47"/>
      <c r="B59" s="150"/>
      <c r="C59" s="41"/>
      <c r="D59" s="41"/>
      <c r="E59" s="41"/>
      <c r="F59" s="41"/>
      <c r="G59" s="41"/>
      <c r="H59" s="43"/>
      <c r="I59" s="43"/>
      <c r="J59" s="47"/>
      <c r="K59" s="41"/>
      <c r="L59" s="41"/>
      <c r="M59" s="137"/>
      <c r="N59" s="73"/>
      <c r="O59" s="43"/>
      <c r="P59" s="43"/>
    </row>
    <row r="60" spans="1:27" x14ac:dyDescent="0.25">
      <c r="A60" s="47"/>
      <c r="B60" s="150"/>
      <c r="C60" s="41"/>
      <c r="D60" s="41"/>
      <c r="E60" s="41"/>
      <c r="F60" s="41"/>
      <c r="G60" s="41"/>
      <c r="H60" s="43"/>
      <c r="I60" s="43"/>
      <c r="J60" s="47"/>
      <c r="K60" s="41"/>
      <c r="L60" s="41"/>
      <c r="M60" s="137"/>
      <c r="N60" s="73"/>
      <c r="O60" s="43"/>
      <c r="P60" s="43"/>
    </row>
    <row r="61" spans="1:27" x14ac:dyDescent="0.25">
      <c r="A61" s="47"/>
      <c r="B61" s="150"/>
      <c r="C61" s="41"/>
      <c r="D61" s="41"/>
      <c r="E61" s="41"/>
      <c r="F61" s="41"/>
      <c r="G61" s="41"/>
      <c r="H61" s="43"/>
      <c r="I61" s="43"/>
      <c r="J61" s="47"/>
      <c r="K61" s="41"/>
      <c r="L61" s="41"/>
      <c r="M61" s="137"/>
      <c r="N61" s="73"/>
      <c r="O61" s="43"/>
      <c r="P61" s="43"/>
    </row>
    <row r="63" spans="1:27" x14ac:dyDescent="0.25">
      <c r="L63" s="80" t="s">
        <v>17</v>
      </c>
      <c r="M63" s="125"/>
      <c r="N63" s="123" t="s">
        <v>228</v>
      </c>
    </row>
    <row r="64" spans="1:27" x14ac:dyDescent="0.25">
      <c r="K64" s="79" t="s">
        <v>176</v>
      </c>
      <c r="L64" s="81">
        <f>B11</f>
        <v>20</v>
      </c>
      <c r="M64" s="80">
        <f>B18</f>
        <v>136</v>
      </c>
      <c r="N64" s="80">
        <f>B25</f>
        <v>252</v>
      </c>
      <c r="O64" s="80">
        <f>B32</f>
        <v>368</v>
      </c>
      <c r="P64" s="80">
        <f>B39</f>
        <v>484</v>
      </c>
      <c r="Q64" s="80">
        <f>B46</f>
        <v>600</v>
      </c>
    </row>
    <row r="65" spans="1:18" x14ac:dyDescent="0.25">
      <c r="K65" s="82">
        <f>Q3</f>
        <v>0</v>
      </c>
      <c r="L65" s="140">
        <f>I11</f>
        <v>7.5</v>
      </c>
      <c r="M65" s="93">
        <f>I18</f>
        <v>46</v>
      </c>
      <c r="N65" s="93">
        <f>I25</f>
        <v>85</v>
      </c>
      <c r="O65" s="93">
        <f>I32</f>
        <v>125</v>
      </c>
      <c r="P65" s="93">
        <f>I39</f>
        <v>165</v>
      </c>
      <c r="Q65" s="93">
        <f>I46</f>
        <v>205</v>
      </c>
    </row>
    <row r="66" spans="1:18" x14ac:dyDescent="0.25">
      <c r="K66" s="82">
        <f t="shared" ref="K66:K70" si="54">Q4</f>
        <v>100</v>
      </c>
      <c r="L66" s="140">
        <f t="shared" ref="L66:L70" si="55">I12</f>
        <v>7.5</v>
      </c>
      <c r="M66" s="93">
        <f t="shared" ref="M66:M70" si="56">I19</f>
        <v>45</v>
      </c>
      <c r="N66" s="93">
        <f t="shared" ref="N66:N70" si="57">I26</f>
        <v>83</v>
      </c>
      <c r="O66" s="93">
        <f t="shared" ref="O66:O70" si="58">I33</f>
        <v>125</v>
      </c>
      <c r="P66" s="93">
        <f t="shared" ref="P66:P70" si="59">I40</f>
        <v>165</v>
      </c>
      <c r="Q66" s="93">
        <f t="shared" ref="Q66:Q70" si="60">I47</f>
        <v>200</v>
      </c>
    </row>
    <row r="67" spans="1:18" x14ac:dyDescent="0.25">
      <c r="K67" s="82">
        <f t="shared" si="54"/>
        <v>500</v>
      </c>
      <c r="L67" s="140">
        <f t="shared" si="55"/>
        <v>7.5</v>
      </c>
      <c r="M67" s="93">
        <f t="shared" si="56"/>
        <v>44</v>
      </c>
      <c r="N67" s="93">
        <f t="shared" si="57"/>
        <v>82</v>
      </c>
      <c r="O67" s="93">
        <f t="shared" si="58"/>
        <v>120</v>
      </c>
      <c r="P67" s="93">
        <f t="shared" si="59"/>
        <v>160</v>
      </c>
      <c r="Q67" s="93">
        <f t="shared" si="60"/>
        <v>200</v>
      </c>
    </row>
    <row r="68" spans="1:18" x14ac:dyDescent="0.25">
      <c r="K68" s="82">
        <f t="shared" si="54"/>
        <v>1000</v>
      </c>
      <c r="L68" s="140">
        <f t="shared" si="55"/>
        <v>6.5</v>
      </c>
      <c r="M68" s="93">
        <f t="shared" si="56"/>
        <v>43</v>
      </c>
      <c r="N68" s="93">
        <f t="shared" si="57"/>
        <v>80</v>
      </c>
      <c r="O68" s="93">
        <f t="shared" si="58"/>
        <v>120</v>
      </c>
      <c r="P68" s="93">
        <f t="shared" si="59"/>
        <v>155</v>
      </c>
      <c r="Q68" s="93">
        <f t="shared" si="60"/>
        <v>195</v>
      </c>
    </row>
    <row r="69" spans="1:18" x14ac:dyDescent="0.25">
      <c r="K69" s="82">
        <f t="shared" si="54"/>
        <v>2000</v>
      </c>
      <c r="L69" s="140">
        <f t="shared" si="55"/>
        <v>6</v>
      </c>
      <c r="M69" s="93">
        <f t="shared" si="56"/>
        <v>42</v>
      </c>
      <c r="N69" s="93">
        <f t="shared" si="57"/>
        <v>76</v>
      </c>
      <c r="O69" s="93">
        <f t="shared" si="58"/>
        <v>110</v>
      </c>
      <c r="P69" s="93">
        <f t="shared" si="59"/>
        <v>150</v>
      </c>
      <c r="Q69" s="93">
        <f t="shared" si="60"/>
        <v>185</v>
      </c>
    </row>
    <row r="70" spans="1:18" x14ac:dyDescent="0.25">
      <c r="K70" s="82">
        <f t="shared" si="54"/>
        <v>3000</v>
      </c>
      <c r="L70" s="140">
        <f t="shared" si="55"/>
        <v>6</v>
      </c>
      <c r="M70" s="93">
        <f t="shared" si="56"/>
        <v>40</v>
      </c>
      <c r="N70" s="93">
        <f t="shared" si="57"/>
        <v>75</v>
      </c>
      <c r="O70" s="93">
        <f t="shared" si="58"/>
        <v>110</v>
      </c>
      <c r="P70" s="93">
        <f t="shared" si="59"/>
        <v>145</v>
      </c>
      <c r="Q70" s="93">
        <f t="shared" si="60"/>
        <v>180</v>
      </c>
    </row>
    <row r="71" spans="1:18" x14ac:dyDescent="0.25">
      <c r="K71" s="83"/>
      <c r="M71" s="125"/>
    </row>
    <row r="72" spans="1:18" x14ac:dyDescent="0.25">
      <c r="K72" s="123">
        <f>B80</f>
        <v>2040</v>
      </c>
      <c r="L72" s="40">
        <f t="shared" ref="L72:Q72" si="61">_xlfn.FORECAST.LINEAR($B$80,L65:L70,$K$65:$K$70)</f>
        <v>6.2827619047619043</v>
      </c>
      <c r="M72" s="40">
        <f t="shared" si="61"/>
        <v>41.654761904761912</v>
      </c>
      <c r="N72" s="40">
        <f t="shared" si="61"/>
        <v>77.104952380952383</v>
      </c>
      <c r="O72" s="40">
        <f t="shared" si="61"/>
        <v>113.16333333333333</v>
      </c>
      <c r="P72" s="40">
        <f t="shared" si="61"/>
        <v>150.28809523809522</v>
      </c>
      <c r="Q72" s="40">
        <f t="shared" si="61"/>
        <v>186.57952380952381</v>
      </c>
      <c r="R72" s="123" t="s">
        <v>25</v>
      </c>
    </row>
    <row r="73" spans="1:18" x14ac:dyDescent="0.25">
      <c r="J73" s="123" t="s">
        <v>25</v>
      </c>
      <c r="K73" s="94">
        <f>B79</f>
        <v>9.463519999999999</v>
      </c>
      <c r="L73" s="95">
        <f>_xlfn.FORECAST.LINEAR(K73,L64:Q64,L72:Q72)</f>
        <v>32.438155866535261</v>
      </c>
      <c r="M73" s="125" t="s">
        <v>17</v>
      </c>
    </row>
    <row r="77" spans="1:18" x14ac:dyDescent="0.25">
      <c r="A77" s="49" t="s">
        <v>229</v>
      </c>
      <c r="B77" s="78">
        <v>1230</v>
      </c>
      <c r="C77" s="40" t="s">
        <v>25</v>
      </c>
      <c r="M77" s="125"/>
    </row>
    <row r="78" spans="1:18" x14ac:dyDescent="0.25">
      <c r="B78" s="77">
        <v>600</v>
      </c>
      <c r="C78" s="40" t="s">
        <v>17</v>
      </c>
      <c r="M78" s="125"/>
    </row>
    <row r="79" spans="1:18" x14ac:dyDescent="0.25">
      <c r="A79" s="40" t="s">
        <v>230</v>
      </c>
      <c r="B79" s="78">
        <f>Q</f>
        <v>9.463519999999999</v>
      </c>
      <c r="C79" s="40" t="s">
        <v>25</v>
      </c>
      <c r="M79" s="125"/>
    </row>
    <row r="80" spans="1:18" x14ac:dyDescent="0.25">
      <c r="A80" s="40" t="s">
        <v>231</v>
      </c>
      <c r="B80" s="78">
        <f>Pavg</f>
        <v>2040</v>
      </c>
      <c r="C80" s="40">
        <v>1000</v>
      </c>
      <c r="D80" s="40" t="s">
        <v>232</v>
      </c>
      <c r="M80" s="125"/>
    </row>
    <row r="81" spans="1:10" x14ac:dyDescent="0.25">
      <c r="A81" s="40" t="s">
        <v>233</v>
      </c>
      <c r="B81" s="77">
        <v>0</v>
      </c>
      <c r="C81" s="40" t="s">
        <v>234</v>
      </c>
      <c r="E81" s="40" t="s">
        <v>235</v>
      </c>
    </row>
    <row r="82" spans="1:10" x14ac:dyDescent="0.25">
      <c r="A82" s="40" t="s">
        <v>236</v>
      </c>
      <c r="B82" s="77">
        <f>L73</f>
        <v>32.438155866535261</v>
      </c>
    </row>
    <row r="83" spans="1:10" x14ac:dyDescent="0.25">
      <c r="A83" s="40" t="s">
        <v>237</v>
      </c>
      <c r="B83" s="77">
        <f>(1+(B80/C80*B81))*B82</f>
        <v>32.438155866535261</v>
      </c>
    </row>
    <row r="84" spans="1:10" x14ac:dyDescent="0.25">
      <c r="A84" s="40" t="s">
        <v>238</v>
      </c>
    </row>
    <row r="85" spans="1:10" x14ac:dyDescent="0.25">
      <c r="A85" s="79" t="s">
        <v>176</v>
      </c>
      <c r="E85" s="123" t="s">
        <v>239</v>
      </c>
      <c r="H85" s="40" t="s">
        <v>240</v>
      </c>
    </row>
    <row r="86" spans="1:10" x14ac:dyDescent="0.25">
      <c r="A86" s="80" t="s">
        <v>17</v>
      </c>
      <c r="B86" s="77">
        <v>0.1</v>
      </c>
      <c r="C86" s="81">
        <f>B11</f>
        <v>20</v>
      </c>
      <c r="D86" s="80">
        <f>B18</f>
        <v>136</v>
      </c>
      <c r="E86" s="80">
        <f>B25</f>
        <v>252</v>
      </c>
      <c r="F86" s="80">
        <f>B32</f>
        <v>368</v>
      </c>
      <c r="G86" s="80">
        <f>B39</f>
        <v>484</v>
      </c>
      <c r="H86" s="80">
        <f>B46</f>
        <v>600</v>
      </c>
      <c r="I86" s="40">
        <f>H86*10</f>
        <v>6000</v>
      </c>
    </row>
    <row r="87" spans="1:10" x14ac:dyDescent="0.25">
      <c r="A87" s="82">
        <f>Q3</f>
        <v>0</v>
      </c>
      <c r="B87" s="77">
        <f>$J$7</f>
        <v>0.22999999999999998</v>
      </c>
      <c r="C87" s="41">
        <f>F11</f>
        <v>-0.22999999999999998</v>
      </c>
      <c r="D87" s="43">
        <f>F18</f>
        <v>10.99</v>
      </c>
      <c r="E87" s="43">
        <f t="shared" ref="E87:E92" si="62">F25</f>
        <v>17.59</v>
      </c>
      <c r="F87" s="43">
        <f t="shared" ref="F87:F92" si="63">F32</f>
        <v>24.43</v>
      </c>
      <c r="G87" s="43">
        <f t="shared" ref="G87:G92" si="64">F39</f>
        <v>31.33</v>
      </c>
      <c r="H87" s="43">
        <f t="shared" ref="H87:H92" si="65">F46</f>
        <v>40.150000000000006</v>
      </c>
      <c r="I87" s="40">
        <f t="shared" ref="I87:I92" si="66">H87*10</f>
        <v>401.50000000000006</v>
      </c>
      <c r="J87" s="40">
        <f t="shared" ref="J87:J92" ca="1" si="67">_xlfn.FORECAST.LINEAR(__RPM1,OFFSET(B87:H87,0,MATCH(__RPM1,$B$86:$H$86,1)-1,1,2),OFFSET($B$86:$H$86,0,MATCH(__RPM1,$B$86:$H$86,1)-1,1,2))</f>
        <v>0.97306990364246193</v>
      </c>
    </row>
    <row r="88" spans="1:10" x14ac:dyDescent="0.25">
      <c r="A88" s="82">
        <f t="shared" ref="A88:A91" si="68">Q4</f>
        <v>100</v>
      </c>
      <c r="B88" s="77">
        <f t="shared" ref="B88:B92" si="69">$J$7</f>
        <v>0.22999999999999998</v>
      </c>
      <c r="C88" s="41">
        <f>E12</f>
        <v>4.68</v>
      </c>
      <c r="D88" s="43">
        <f>E19</f>
        <v>12.36</v>
      </c>
      <c r="E88" s="43">
        <f t="shared" si="62"/>
        <v>19.149999999999999</v>
      </c>
      <c r="F88" s="43">
        <f t="shared" si="63"/>
        <v>26.23</v>
      </c>
      <c r="G88" s="43">
        <f t="shared" si="64"/>
        <v>34.21</v>
      </c>
      <c r="H88" s="43">
        <f t="shared" si="65"/>
        <v>43.75</v>
      </c>
      <c r="I88" s="40">
        <f t="shared" si="66"/>
        <v>437.5</v>
      </c>
      <c r="J88" s="40">
        <f t="shared" ca="1" si="67"/>
        <v>5.5034916987499205</v>
      </c>
    </row>
    <row r="89" spans="1:10" x14ac:dyDescent="0.25">
      <c r="A89" s="82">
        <f t="shared" si="68"/>
        <v>500</v>
      </c>
      <c r="B89" s="77">
        <f t="shared" si="69"/>
        <v>0.22999999999999998</v>
      </c>
      <c r="C89" s="41">
        <f>E13</f>
        <v>5.0999999999999996</v>
      </c>
      <c r="D89" s="43">
        <f>E20</f>
        <v>13.98</v>
      </c>
      <c r="E89" s="43">
        <f t="shared" si="62"/>
        <v>21.91</v>
      </c>
      <c r="F89" s="43">
        <f t="shared" si="63"/>
        <v>29.65</v>
      </c>
      <c r="G89" s="43">
        <f t="shared" si="64"/>
        <v>39.25</v>
      </c>
      <c r="H89" s="43">
        <f t="shared" si="65"/>
        <v>48.790000000000006</v>
      </c>
      <c r="I89" s="40">
        <f t="shared" si="66"/>
        <v>487.90000000000009</v>
      </c>
      <c r="J89" s="40">
        <f t="shared" ca="1" si="67"/>
        <v>6.0521622766795948</v>
      </c>
    </row>
    <row r="90" spans="1:10" x14ac:dyDescent="0.25">
      <c r="A90" s="82">
        <f t="shared" si="68"/>
        <v>1000</v>
      </c>
      <c r="B90" s="77">
        <f t="shared" si="69"/>
        <v>0.22999999999999998</v>
      </c>
      <c r="C90" s="41">
        <f>E14</f>
        <v>6.06</v>
      </c>
      <c r="D90" s="43">
        <f>E21</f>
        <v>15.84</v>
      </c>
      <c r="E90" s="43">
        <f t="shared" si="62"/>
        <v>25.87</v>
      </c>
      <c r="F90" s="43">
        <f t="shared" si="63"/>
        <v>35.230000000000004</v>
      </c>
      <c r="G90" s="43">
        <f t="shared" si="64"/>
        <v>47.53</v>
      </c>
      <c r="H90" s="43">
        <f t="shared" si="65"/>
        <v>58.03</v>
      </c>
      <c r="I90" s="40">
        <f t="shared" si="66"/>
        <v>580.29999999999995</v>
      </c>
      <c r="J90" s="40">
        <f t="shared" ca="1" si="67"/>
        <v>7.1086652101268522</v>
      </c>
    </row>
    <row r="91" spans="1:10" x14ac:dyDescent="0.25">
      <c r="A91" s="82">
        <f t="shared" si="68"/>
        <v>2000</v>
      </c>
      <c r="B91" s="77">
        <f t="shared" si="69"/>
        <v>0.22999999999999998</v>
      </c>
      <c r="C91" s="41">
        <f>E15</f>
        <v>8.8800000000000008</v>
      </c>
      <c r="D91" s="43">
        <f>E22</f>
        <v>22.14</v>
      </c>
      <c r="E91" s="43">
        <f t="shared" si="62"/>
        <v>34.81</v>
      </c>
      <c r="F91" s="43">
        <f t="shared" si="63"/>
        <v>48.67</v>
      </c>
      <c r="G91" s="43">
        <f t="shared" si="64"/>
        <v>63.13</v>
      </c>
      <c r="H91" s="43">
        <f t="shared" si="65"/>
        <v>78.97</v>
      </c>
      <c r="I91" s="40">
        <f t="shared" si="66"/>
        <v>789.7</v>
      </c>
      <c r="J91" s="40">
        <f t="shared" ca="1" si="67"/>
        <v>10.301809886122911</v>
      </c>
    </row>
    <row r="92" spans="1:10" x14ac:dyDescent="0.25">
      <c r="A92" s="82">
        <f>Q8+0.1</f>
        <v>3000.1</v>
      </c>
      <c r="B92" s="77">
        <f t="shared" si="69"/>
        <v>0.22999999999999998</v>
      </c>
      <c r="C92" s="41">
        <f>E16</f>
        <v>12.42</v>
      </c>
      <c r="D92" s="43">
        <f>E23</f>
        <v>28.92</v>
      </c>
      <c r="E92" s="43">
        <f t="shared" si="62"/>
        <v>44.830000000000005</v>
      </c>
      <c r="F92" s="43">
        <f t="shared" si="63"/>
        <v>61.27</v>
      </c>
      <c r="G92" s="43">
        <f t="shared" si="64"/>
        <v>76.81</v>
      </c>
      <c r="H92" s="43">
        <f t="shared" si="65"/>
        <v>83.89</v>
      </c>
      <c r="I92" s="40">
        <f t="shared" si="66"/>
        <v>838.9</v>
      </c>
      <c r="J92" s="40">
        <f t="shared" ca="1" si="67"/>
        <v>14.189220446533035</v>
      </c>
    </row>
    <row r="95" spans="1:10" x14ac:dyDescent="0.25">
      <c r="A95" s="40" t="s">
        <v>241</v>
      </c>
      <c r="B95" s="84">
        <f>B83</f>
        <v>32.438155866535261</v>
      </c>
      <c r="C95" s="40" t="s">
        <v>17</v>
      </c>
    </row>
    <row r="96" spans="1:10" x14ac:dyDescent="0.25">
      <c r="A96" s="40" t="s">
        <v>242</v>
      </c>
      <c r="B96" s="84">
        <f>B80</f>
        <v>2040</v>
      </c>
      <c r="C96" s="40" t="s">
        <v>165</v>
      </c>
    </row>
    <row r="97" spans="1:3" x14ac:dyDescent="0.25">
      <c r="A97" s="40" t="s">
        <v>243</v>
      </c>
      <c r="B97" s="85">
        <f ca="1">_xlfn.FORECAST.LINEAR(Press1,OFFSET(J87:J92,MATCH(Press1,A87:A92,1)-1,0,2),OFFSET(A87:A92,MATCH(Press1,A87:A92,1)-1,0,2))</f>
        <v>10.457290760451881</v>
      </c>
      <c r="C97" s="40" t="s">
        <v>18</v>
      </c>
    </row>
  </sheetData>
  <mergeCells count="3">
    <mergeCell ref="C9:E9"/>
    <mergeCell ref="F9:H9"/>
    <mergeCell ref="L9:N9"/>
  </mergeCells>
  <pageMargins left="0.70866141732283472" right="0.70866141732283472" top="0.74803149606299213" bottom="0.74803149606299213" header="0.31496062992125984" footer="0.31496062992125984"/>
  <pageSetup scale="63" orientation="landscape" r:id="rId1"/>
  <rowBreaks count="1" manualBreakCount="1">
    <brk id="54" max="1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B605E-B952-4F11-8A12-1C7BDC9EBC8E}">
  <sheetPr>
    <tabColor rgb="FF00B0F0"/>
  </sheetPr>
  <dimension ref="A1:AA97"/>
  <sheetViews>
    <sheetView topLeftCell="A4" workbookViewId="0">
      <selection activeCell="S30" sqref="S30"/>
    </sheetView>
  </sheetViews>
  <sheetFormatPr defaultColWidth="9.140625" defaultRowHeight="15" x14ac:dyDescent="0.25"/>
  <cols>
    <col min="1" max="1" width="14.7109375" style="40" customWidth="1"/>
    <col min="2" max="2" width="11.28515625" style="77" customWidth="1"/>
    <col min="3" max="3" width="12.42578125" style="40" customWidth="1"/>
    <col min="4" max="4" width="19.140625" style="40" customWidth="1"/>
    <col min="5" max="5" width="13.7109375" style="40" customWidth="1"/>
    <col min="6" max="6" width="14.85546875" style="40" customWidth="1"/>
    <col min="7" max="7" width="13.140625" style="40" customWidth="1"/>
    <col min="8" max="8" width="9.140625" style="40"/>
    <col min="9" max="9" width="12.140625" style="40" customWidth="1"/>
    <col min="10" max="10" width="10.5703125" style="40" customWidth="1"/>
    <col min="11" max="11" width="12" style="40" customWidth="1"/>
    <col min="12" max="12" width="9.140625" style="40" customWidth="1"/>
    <col min="13" max="13" width="9.140625" style="44"/>
    <col min="14" max="16384" width="9.140625" style="40"/>
  </cols>
  <sheetData>
    <row r="1" spans="1:27" x14ac:dyDescent="0.25">
      <c r="B1" s="41" t="s">
        <v>195</v>
      </c>
      <c r="C1" s="42">
        <v>44302</v>
      </c>
      <c r="D1" s="128" t="s">
        <v>196</v>
      </c>
      <c r="E1" s="43"/>
      <c r="F1" s="43"/>
      <c r="M1" s="125"/>
    </row>
    <row r="2" spans="1:27" ht="21" x14ac:dyDescent="0.35">
      <c r="A2" s="45" t="s">
        <v>197</v>
      </c>
      <c r="B2" s="46"/>
      <c r="C2" s="45"/>
      <c r="D2" s="45"/>
      <c r="E2" s="45"/>
      <c r="F2" s="45"/>
      <c r="G2" s="45"/>
      <c r="H2" s="45"/>
      <c r="I2" s="45"/>
      <c r="J2" s="45"/>
      <c r="K2" s="45"/>
      <c r="L2" s="45"/>
      <c r="M2" s="40"/>
      <c r="P2" s="47" t="s">
        <v>198</v>
      </c>
      <c r="Q2" s="49" t="s">
        <v>199</v>
      </c>
    </row>
    <row r="3" spans="1:27" x14ac:dyDescent="0.25">
      <c r="A3" s="47" t="s">
        <v>200</v>
      </c>
      <c r="B3" s="150"/>
      <c r="C3" s="47" t="s">
        <v>244</v>
      </c>
      <c r="D3" s="47"/>
      <c r="E3" s="47"/>
      <c r="F3" s="47"/>
      <c r="G3" s="48"/>
      <c r="H3" s="43"/>
      <c r="I3" s="49"/>
      <c r="K3" s="49"/>
      <c r="L3" s="49"/>
      <c r="M3" s="40"/>
      <c r="P3" s="47">
        <v>20</v>
      </c>
      <c r="Q3" s="47">
        <v>0</v>
      </c>
    </row>
    <row r="4" spans="1:27" x14ac:dyDescent="0.25">
      <c r="A4" s="150" t="s">
        <v>204</v>
      </c>
      <c r="B4" s="150"/>
      <c r="C4" s="150">
        <v>0.375</v>
      </c>
      <c r="D4" s="150"/>
      <c r="E4" s="150"/>
      <c r="F4" s="150"/>
      <c r="G4" s="51" t="s">
        <v>205</v>
      </c>
      <c r="H4" s="222" t="s">
        <v>355</v>
      </c>
      <c r="I4" s="223"/>
      <c r="J4" s="224" t="s">
        <v>18</v>
      </c>
      <c r="K4" s="225"/>
      <c r="L4" s="224"/>
      <c r="M4" s="226"/>
      <c r="N4" s="223"/>
      <c r="O4" s="47"/>
      <c r="P4" s="47">
        <f>(P$8-P$3)/5+P3</f>
        <v>136</v>
      </c>
      <c r="Q4" s="47">
        <v>100</v>
      </c>
    </row>
    <row r="5" spans="1:27" x14ac:dyDescent="0.25">
      <c r="A5" s="150" t="s">
        <v>206</v>
      </c>
      <c r="B5" s="150"/>
      <c r="C5" s="150">
        <v>25.9</v>
      </c>
      <c r="D5" s="150"/>
      <c r="E5" s="150"/>
      <c r="F5" s="150"/>
      <c r="G5" s="52" t="s">
        <v>207</v>
      </c>
      <c r="H5" s="227">
        <v>73.5</v>
      </c>
      <c r="I5" s="225"/>
      <c r="J5" s="223">
        <f>H5/1000*25</f>
        <v>1.8374999999999999</v>
      </c>
      <c r="K5" s="228" t="s">
        <v>357</v>
      </c>
      <c r="L5" s="223"/>
      <c r="M5" s="226"/>
      <c r="N5" s="223"/>
      <c r="O5" s="47"/>
      <c r="P5" s="47">
        <f t="shared" ref="P5:P7" si="0">(P$8-P$3)/5+P4</f>
        <v>252</v>
      </c>
      <c r="Q5" s="47">
        <v>500</v>
      </c>
    </row>
    <row r="6" spans="1:27" x14ac:dyDescent="0.25">
      <c r="A6" s="150" t="s">
        <v>208</v>
      </c>
      <c r="B6" s="150"/>
      <c r="C6" s="150">
        <f>0.15</f>
        <v>0.15</v>
      </c>
      <c r="D6" s="150"/>
      <c r="E6" s="150"/>
      <c r="F6" s="150"/>
      <c r="G6" s="51" t="s">
        <v>209</v>
      </c>
      <c r="H6" s="227">
        <v>64.3</v>
      </c>
      <c r="I6" s="225"/>
      <c r="J6" s="223">
        <f>H6/1000*25</f>
        <v>1.6074999999999999</v>
      </c>
      <c r="K6" s="228" t="s">
        <v>357</v>
      </c>
      <c r="L6" s="223"/>
      <c r="M6" s="226"/>
      <c r="N6" s="223"/>
      <c r="O6" s="47"/>
      <c r="P6" s="47">
        <f t="shared" si="0"/>
        <v>368</v>
      </c>
      <c r="Q6" s="47">
        <v>1000</v>
      </c>
    </row>
    <row r="7" spans="1:27" x14ac:dyDescent="0.25">
      <c r="A7" s="53" t="s">
        <v>210</v>
      </c>
      <c r="B7" s="150"/>
      <c r="C7" s="150" t="s">
        <v>211</v>
      </c>
      <c r="D7" s="150"/>
      <c r="E7" s="150"/>
      <c r="F7" s="150"/>
      <c r="H7" s="223"/>
      <c r="I7" s="223" t="s">
        <v>212</v>
      </c>
      <c r="J7" s="224">
        <f>J5-J6</f>
        <v>0.22999999999999998</v>
      </c>
      <c r="K7" s="224" t="s">
        <v>18</v>
      </c>
      <c r="L7" s="228" t="s">
        <v>356</v>
      </c>
      <c r="M7" s="226"/>
      <c r="N7" s="223"/>
      <c r="O7" s="47"/>
      <c r="P7" s="47">
        <f t="shared" si="0"/>
        <v>484</v>
      </c>
      <c r="Q7" s="47">
        <v>2000</v>
      </c>
    </row>
    <row r="8" spans="1:27" ht="15.75" thickBot="1" x14ac:dyDescent="0.3">
      <c r="A8" s="53" t="s">
        <v>213</v>
      </c>
      <c r="B8" s="150"/>
      <c r="C8" s="148" t="s">
        <v>214</v>
      </c>
      <c r="D8" s="53"/>
      <c r="E8" s="53"/>
      <c r="F8" s="53"/>
      <c r="G8" s="40" t="s">
        <v>215</v>
      </c>
      <c r="J8" s="50"/>
      <c r="K8" s="50"/>
      <c r="L8" s="50"/>
      <c r="M8" s="151"/>
      <c r="O8" s="54"/>
      <c r="P8" s="54">
        <v>600</v>
      </c>
      <c r="Q8" s="71">
        <v>3000</v>
      </c>
    </row>
    <row r="9" spans="1:27" x14ac:dyDescent="0.25">
      <c r="A9" s="47" t="s">
        <v>176</v>
      </c>
      <c r="C9" s="285" t="s">
        <v>216</v>
      </c>
      <c r="D9" s="286"/>
      <c r="E9" s="287"/>
      <c r="F9" s="288" t="s">
        <v>217</v>
      </c>
      <c r="G9" s="288"/>
      <c r="H9" s="288"/>
      <c r="I9" s="55"/>
      <c r="J9" s="56" t="s">
        <v>218</v>
      </c>
      <c r="K9" s="57" t="s">
        <v>219</v>
      </c>
      <c r="L9" s="289"/>
      <c r="M9" s="290"/>
      <c r="N9" s="290"/>
      <c r="O9" s="58"/>
      <c r="P9" s="59"/>
      <c r="Z9" s="40">
        <v>10</v>
      </c>
      <c r="AA9" s="40">
        <f t="shared" ref="AA9:AA14" si="1">Z9/400*600</f>
        <v>15</v>
      </c>
    </row>
    <row r="10" spans="1:27" ht="15.75" thickBot="1" x14ac:dyDescent="0.3">
      <c r="A10" s="150" t="s">
        <v>220</v>
      </c>
      <c r="B10" s="150" t="s">
        <v>17</v>
      </c>
      <c r="C10" s="53" t="s">
        <v>202</v>
      </c>
      <c r="D10" s="50" t="s">
        <v>221</v>
      </c>
      <c r="E10" s="61" t="s">
        <v>18</v>
      </c>
      <c r="F10" s="62" t="s">
        <v>222</v>
      </c>
      <c r="G10" s="53" t="s">
        <v>223</v>
      </c>
      <c r="H10" s="53" t="s">
        <v>224</v>
      </c>
      <c r="I10" s="64" t="s">
        <v>225</v>
      </c>
      <c r="J10" s="60" t="s">
        <v>18</v>
      </c>
      <c r="K10" s="63" t="s">
        <v>226</v>
      </c>
      <c r="L10" s="63"/>
      <c r="M10" s="65" t="s">
        <v>227</v>
      </c>
      <c r="N10" s="66"/>
      <c r="O10" s="67"/>
      <c r="P10" s="68"/>
      <c r="Q10" s="69"/>
      <c r="R10" s="70"/>
      <c r="S10" s="70"/>
      <c r="Z10" s="40">
        <v>50</v>
      </c>
      <c r="AA10" s="40">
        <f t="shared" si="1"/>
        <v>75</v>
      </c>
    </row>
    <row r="11" spans="1:27" x14ac:dyDescent="0.25">
      <c r="A11" s="74">
        <f>Q3</f>
        <v>0</v>
      </c>
      <c r="B11" s="150">
        <f>P$3</f>
        <v>20</v>
      </c>
      <c r="C11" s="43">
        <v>65</v>
      </c>
      <c r="D11" s="43">
        <f>60/60</f>
        <v>1</v>
      </c>
      <c r="E11" s="133">
        <f>60/D11*C11/1000</f>
        <v>3.9</v>
      </c>
      <c r="F11" s="100">
        <f>E11-$J$7</f>
        <v>3.67</v>
      </c>
      <c r="G11" s="43">
        <v>60</v>
      </c>
      <c r="H11" s="24">
        <v>14</v>
      </c>
      <c r="I11" s="72">
        <f t="shared" ref="I11:I16" si="2">60*H11/G11</f>
        <v>14</v>
      </c>
      <c r="J11" s="101">
        <f t="shared" ref="J11:J16" si="3">I11/100*A11/100*0.8</f>
        <v>0</v>
      </c>
      <c r="K11" s="136">
        <f t="shared" ref="K11:K15" si="4">J11/E11</f>
        <v>0</v>
      </c>
      <c r="L11" s="41"/>
      <c r="M11" s="137"/>
      <c r="N11" s="73"/>
      <c r="O11" s="43"/>
      <c r="P11" s="43"/>
      <c r="Q11" s="69"/>
      <c r="R11" s="70"/>
      <c r="S11" s="70"/>
    </row>
    <row r="12" spans="1:27" x14ac:dyDescent="0.25">
      <c r="A12" s="74">
        <f t="shared" ref="A12:A16" si="5">Q4</f>
        <v>100</v>
      </c>
      <c r="B12" s="150">
        <f t="shared" ref="B12:B16" si="6">P$3</f>
        <v>20</v>
      </c>
      <c r="C12" s="43">
        <v>76</v>
      </c>
      <c r="D12" s="43">
        <f t="shared" ref="D12:D16" si="7">60/60</f>
        <v>1</v>
      </c>
      <c r="E12" s="133">
        <f t="shared" ref="E12:E16" si="8">60/D12*C12/1000</f>
        <v>4.5599999999999996</v>
      </c>
      <c r="F12" s="100">
        <f t="shared" ref="F12:F16" si="9">E12-$J$7</f>
        <v>4.33</v>
      </c>
      <c r="G12" s="43">
        <v>60</v>
      </c>
      <c r="H12" s="24">
        <v>13</v>
      </c>
      <c r="I12" s="72">
        <f t="shared" si="2"/>
        <v>13</v>
      </c>
      <c r="J12" s="101">
        <f t="shared" si="3"/>
        <v>0.10400000000000001</v>
      </c>
      <c r="K12" s="136">
        <f t="shared" si="4"/>
        <v>2.2807017543859654E-2</v>
      </c>
      <c r="L12" s="41"/>
      <c r="M12" s="137">
        <f>I12/$I$12</f>
        <v>1</v>
      </c>
      <c r="N12" s="73"/>
      <c r="O12" s="43"/>
      <c r="P12" s="43"/>
      <c r="Z12" s="40">
        <v>100</v>
      </c>
      <c r="AA12" s="40">
        <f t="shared" si="1"/>
        <v>150</v>
      </c>
    </row>
    <row r="13" spans="1:27" x14ac:dyDescent="0.25">
      <c r="A13" s="74">
        <f t="shared" si="5"/>
        <v>500</v>
      </c>
      <c r="B13" s="150">
        <f t="shared" si="6"/>
        <v>20</v>
      </c>
      <c r="C13" s="43">
        <v>95</v>
      </c>
      <c r="D13" s="43">
        <f t="shared" si="7"/>
        <v>1</v>
      </c>
      <c r="E13" s="133">
        <f t="shared" si="8"/>
        <v>5.7</v>
      </c>
      <c r="F13" s="100">
        <f t="shared" si="9"/>
        <v>5.4700000000000006</v>
      </c>
      <c r="G13" s="43">
        <v>60</v>
      </c>
      <c r="H13" s="24">
        <v>13</v>
      </c>
      <c r="I13" s="72">
        <f t="shared" si="2"/>
        <v>13</v>
      </c>
      <c r="J13" s="101">
        <f t="shared" si="3"/>
        <v>0.52</v>
      </c>
      <c r="K13" s="136">
        <f t="shared" si="4"/>
        <v>9.1228070175438603E-2</v>
      </c>
      <c r="L13" s="41"/>
      <c r="M13" s="137">
        <f>I13/$I$12</f>
        <v>1</v>
      </c>
      <c r="N13" s="73"/>
      <c r="O13" s="43"/>
      <c r="P13" s="43"/>
      <c r="Z13" s="40">
        <v>200</v>
      </c>
      <c r="AA13" s="40">
        <f t="shared" si="1"/>
        <v>300</v>
      </c>
    </row>
    <row r="14" spans="1:27" x14ac:dyDescent="0.25">
      <c r="A14" s="74">
        <f t="shared" si="5"/>
        <v>1000</v>
      </c>
      <c r="B14" s="150">
        <f t="shared" si="6"/>
        <v>20</v>
      </c>
      <c r="C14" s="43">
        <v>131</v>
      </c>
      <c r="D14" s="43">
        <f t="shared" si="7"/>
        <v>1</v>
      </c>
      <c r="E14" s="133">
        <f t="shared" si="8"/>
        <v>7.86</v>
      </c>
      <c r="F14" s="100">
        <f t="shared" si="9"/>
        <v>7.6300000000000008</v>
      </c>
      <c r="G14" s="43">
        <v>60</v>
      </c>
      <c r="H14" s="24">
        <v>13</v>
      </c>
      <c r="I14" s="72">
        <f t="shared" si="2"/>
        <v>13</v>
      </c>
      <c r="J14" s="101">
        <f t="shared" si="3"/>
        <v>1.04</v>
      </c>
      <c r="K14" s="136">
        <f t="shared" si="4"/>
        <v>0.13231552162849872</v>
      </c>
      <c r="L14" s="41"/>
      <c r="M14" s="137">
        <f>I14/$I$12</f>
        <v>1</v>
      </c>
      <c r="N14" s="73"/>
      <c r="O14" s="43"/>
      <c r="P14" s="43"/>
      <c r="Z14" s="40">
        <v>300</v>
      </c>
      <c r="AA14" s="40">
        <f t="shared" si="1"/>
        <v>450</v>
      </c>
    </row>
    <row r="15" spans="1:27" x14ac:dyDescent="0.25">
      <c r="A15" s="74">
        <f t="shared" si="5"/>
        <v>2000</v>
      </c>
      <c r="B15" s="150">
        <f t="shared" si="6"/>
        <v>20</v>
      </c>
      <c r="C15" s="43">
        <v>207</v>
      </c>
      <c r="D15" s="43">
        <f t="shared" si="7"/>
        <v>1</v>
      </c>
      <c r="E15" s="133">
        <f t="shared" si="8"/>
        <v>12.42</v>
      </c>
      <c r="F15" s="100">
        <f t="shared" si="9"/>
        <v>12.19</v>
      </c>
      <c r="G15" s="43">
        <v>60</v>
      </c>
      <c r="H15" s="24">
        <v>12</v>
      </c>
      <c r="I15" s="72">
        <f t="shared" si="2"/>
        <v>12</v>
      </c>
      <c r="J15" s="101">
        <f t="shared" si="3"/>
        <v>1.92</v>
      </c>
      <c r="K15" s="136">
        <f t="shared" si="4"/>
        <v>0.15458937198067632</v>
      </c>
      <c r="L15" s="41"/>
      <c r="M15" s="137">
        <f>I15/$I$12</f>
        <v>0.92307692307692313</v>
      </c>
      <c r="N15" s="73"/>
      <c r="O15" s="43"/>
      <c r="P15" s="43"/>
      <c r="Z15" s="40">
        <v>400</v>
      </c>
      <c r="AA15" s="40">
        <f>Z15/400*600</f>
        <v>600</v>
      </c>
    </row>
    <row r="16" spans="1:27" x14ac:dyDescent="0.25">
      <c r="A16" s="74">
        <f t="shared" si="5"/>
        <v>3000</v>
      </c>
      <c r="B16" s="150">
        <f t="shared" si="6"/>
        <v>20</v>
      </c>
      <c r="C16" s="43">
        <v>307</v>
      </c>
      <c r="D16" s="43">
        <f t="shared" si="7"/>
        <v>1</v>
      </c>
      <c r="E16" s="133">
        <f t="shared" si="8"/>
        <v>18.420000000000002</v>
      </c>
      <c r="F16" s="100">
        <f t="shared" si="9"/>
        <v>18.190000000000001</v>
      </c>
      <c r="G16" s="43">
        <v>60</v>
      </c>
      <c r="H16" s="24">
        <v>11</v>
      </c>
      <c r="I16" s="72">
        <f t="shared" si="2"/>
        <v>11</v>
      </c>
      <c r="J16" s="101">
        <f t="shared" si="3"/>
        <v>2.64</v>
      </c>
      <c r="K16" s="136">
        <f>J16/E16</f>
        <v>0.14332247557003255</v>
      </c>
      <c r="L16" s="41"/>
      <c r="M16" s="137">
        <f>I16/$I$12</f>
        <v>0.84615384615384615</v>
      </c>
      <c r="N16" s="73"/>
      <c r="O16" s="43"/>
      <c r="P16" s="43"/>
    </row>
    <row r="17" spans="1:27" x14ac:dyDescent="0.25">
      <c r="A17" s="74"/>
      <c r="B17" s="74"/>
      <c r="C17" s="43"/>
      <c r="D17" s="43"/>
      <c r="E17" s="133"/>
      <c r="F17" s="100"/>
      <c r="G17" s="24"/>
      <c r="H17" s="24"/>
      <c r="I17" s="72"/>
      <c r="J17" s="101"/>
      <c r="K17" s="41"/>
      <c r="L17" s="41"/>
      <c r="M17" s="137"/>
      <c r="N17" s="73"/>
      <c r="O17" s="43"/>
      <c r="P17" s="43"/>
    </row>
    <row r="18" spans="1:27" x14ac:dyDescent="0.25">
      <c r="A18" s="74">
        <f>Q3</f>
        <v>0</v>
      </c>
      <c r="B18" s="74">
        <f>P$4</f>
        <v>136</v>
      </c>
      <c r="C18" s="43">
        <v>193</v>
      </c>
      <c r="D18" s="43">
        <f>60/60</f>
        <v>1</v>
      </c>
      <c r="E18" s="133">
        <f>60/D18*C18/1000</f>
        <v>11.58</v>
      </c>
      <c r="F18" s="100">
        <f>E18-$J$7</f>
        <v>11.35</v>
      </c>
      <c r="G18" s="43">
        <v>60</v>
      </c>
      <c r="H18" s="24">
        <v>95</v>
      </c>
      <c r="I18" s="72">
        <f t="shared" ref="I18:I22" si="10">60*H18/G18</f>
        <v>95</v>
      </c>
      <c r="J18" s="101">
        <f t="shared" ref="J18:J23" si="11">I18/100*A18/100*0.8</f>
        <v>0</v>
      </c>
      <c r="K18" s="136">
        <f t="shared" ref="K18:K22" si="12">J18/E18</f>
        <v>0</v>
      </c>
      <c r="L18" s="41"/>
      <c r="M18" s="137"/>
      <c r="N18" s="73"/>
      <c r="O18" s="43"/>
      <c r="P18" s="43"/>
      <c r="Q18" s="69"/>
      <c r="R18" s="70"/>
      <c r="S18" s="70"/>
    </row>
    <row r="19" spans="1:27" x14ac:dyDescent="0.25">
      <c r="A19" s="74">
        <f t="shared" ref="A19:A23" si="13">Q4</f>
        <v>100</v>
      </c>
      <c r="B19" s="74">
        <f t="shared" ref="B19:B23" si="14">P$4</f>
        <v>136</v>
      </c>
      <c r="C19" s="43">
        <v>230</v>
      </c>
      <c r="D19" s="43">
        <f t="shared" ref="D19:D23" si="15">60/60</f>
        <v>1</v>
      </c>
      <c r="E19" s="133">
        <f t="shared" ref="E19:E23" si="16">60/D19*C19/1000</f>
        <v>13.8</v>
      </c>
      <c r="F19" s="100">
        <f t="shared" ref="F19:F23" si="17">E19-$J$7</f>
        <v>13.57</v>
      </c>
      <c r="G19" s="43">
        <v>60</v>
      </c>
      <c r="H19" s="24">
        <v>90</v>
      </c>
      <c r="I19" s="72">
        <f t="shared" si="10"/>
        <v>90</v>
      </c>
      <c r="J19" s="101">
        <f t="shared" si="11"/>
        <v>0.72000000000000008</v>
      </c>
      <c r="K19" s="136">
        <f t="shared" si="12"/>
        <v>5.2173913043478265E-2</v>
      </c>
      <c r="L19" s="41"/>
      <c r="M19" s="137">
        <f t="shared" ref="M19:M24" si="18">I19/$I$19</f>
        <v>1</v>
      </c>
      <c r="N19" s="73"/>
      <c r="O19" s="43"/>
      <c r="P19" s="43"/>
      <c r="Z19" s="40">
        <v>100</v>
      </c>
      <c r="AA19" s="40">
        <f t="shared" ref="AA19:AA21" si="19">Z19/400*600</f>
        <v>150</v>
      </c>
    </row>
    <row r="20" spans="1:27" x14ac:dyDescent="0.25">
      <c r="A20" s="74">
        <f t="shared" si="13"/>
        <v>500</v>
      </c>
      <c r="B20" s="74">
        <f t="shared" si="14"/>
        <v>136</v>
      </c>
      <c r="C20" s="43">
        <v>282</v>
      </c>
      <c r="D20" s="43">
        <f t="shared" si="15"/>
        <v>1</v>
      </c>
      <c r="E20" s="133">
        <f t="shared" si="16"/>
        <v>16.920000000000002</v>
      </c>
      <c r="F20" s="100">
        <f t="shared" si="17"/>
        <v>16.690000000000001</v>
      </c>
      <c r="G20" s="43">
        <v>60</v>
      </c>
      <c r="H20" s="24">
        <v>90</v>
      </c>
      <c r="I20" s="72">
        <f t="shared" si="10"/>
        <v>90</v>
      </c>
      <c r="J20" s="101">
        <f t="shared" si="11"/>
        <v>3.6</v>
      </c>
      <c r="K20" s="136">
        <f t="shared" si="12"/>
        <v>0.21276595744680848</v>
      </c>
      <c r="L20" s="41"/>
      <c r="M20" s="137">
        <f t="shared" si="18"/>
        <v>1</v>
      </c>
      <c r="N20" s="73"/>
      <c r="O20" s="43"/>
      <c r="P20" s="43"/>
      <c r="Z20" s="40">
        <v>200</v>
      </c>
      <c r="AA20" s="40">
        <f t="shared" si="19"/>
        <v>300</v>
      </c>
    </row>
    <row r="21" spans="1:27" x14ac:dyDescent="0.25">
      <c r="A21" s="74">
        <f t="shared" si="13"/>
        <v>1000</v>
      </c>
      <c r="B21" s="74">
        <f t="shared" si="14"/>
        <v>136</v>
      </c>
      <c r="C21" s="43">
        <v>372</v>
      </c>
      <c r="D21" s="43">
        <f t="shared" si="15"/>
        <v>1</v>
      </c>
      <c r="E21" s="133">
        <f t="shared" si="16"/>
        <v>22.32</v>
      </c>
      <c r="F21" s="100">
        <f t="shared" si="17"/>
        <v>22.09</v>
      </c>
      <c r="G21" s="43">
        <v>60</v>
      </c>
      <c r="H21" s="24">
        <v>90</v>
      </c>
      <c r="I21" s="72">
        <f t="shared" si="10"/>
        <v>90</v>
      </c>
      <c r="J21" s="101">
        <f t="shared" si="11"/>
        <v>7.2</v>
      </c>
      <c r="K21" s="136">
        <f t="shared" si="12"/>
        <v>0.32258064516129031</v>
      </c>
      <c r="L21" s="41"/>
      <c r="M21" s="137">
        <f t="shared" si="18"/>
        <v>1</v>
      </c>
      <c r="N21" s="73"/>
      <c r="O21" s="43"/>
      <c r="P21" s="43"/>
      <c r="Z21" s="40">
        <v>300</v>
      </c>
      <c r="AA21" s="40">
        <f t="shared" si="19"/>
        <v>450</v>
      </c>
    </row>
    <row r="22" spans="1:27" x14ac:dyDescent="0.25">
      <c r="A22" s="74">
        <f t="shared" si="13"/>
        <v>2000</v>
      </c>
      <c r="B22" s="74">
        <f t="shared" si="14"/>
        <v>136</v>
      </c>
      <c r="C22" s="43">
        <v>637</v>
      </c>
      <c r="D22" s="43">
        <f t="shared" si="15"/>
        <v>1</v>
      </c>
      <c r="E22" s="133">
        <f t="shared" si="16"/>
        <v>38.22</v>
      </c>
      <c r="F22" s="100">
        <f t="shared" si="17"/>
        <v>37.99</v>
      </c>
      <c r="G22" s="43">
        <v>60</v>
      </c>
      <c r="H22" s="24">
        <v>85</v>
      </c>
      <c r="I22" s="72">
        <f t="shared" si="10"/>
        <v>85</v>
      </c>
      <c r="J22" s="101">
        <f t="shared" si="11"/>
        <v>13.600000000000001</v>
      </c>
      <c r="K22" s="136">
        <f t="shared" si="12"/>
        <v>0.3558346415489273</v>
      </c>
      <c r="L22" s="41"/>
      <c r="M22" s="137">
        <f t="shared" si="18"/>
        <v>0.94444444444444442</v>
      </c>
      <c r="N22" s="73"/>
      <c r="O22" s="43"/>
      <c r="P22" s="43"/>
      <c r="Z22" s="40">
        <v>400</v>
      </c>
      <c r="AA22" s="40">
        <f>Z22/400*600</f>
        <v>600</v>
      </c>
    </row>
    <row r="23" spans="1:27" x14ac:dyDescent="0.25">
      <c r="A23" s="74">
        <f t="shared" si="13"/>
        <v>3000</v>
      </c>
      <c r="B23" s="74">
        <f t="shared" si="14"/>
        <v>136</v>
      </c>
      <c r="C23" s="43">
        <v>867</v>
      </c>
      <c r="D23" s="43">
        <f t="shared" si="15"/>
        <v>1</v>
      </c>
      <c r="E23" s="133">
        <f t="shared" si="16"/>
        <v>52.02</v>
      </c>
      <c r="F23" s="100">
        <f t="shared" si="17"/>
        <v>51.790000000000006</v>
      </c>
      <c r="G23" s="43">
        <v>60</v>
      </c>
      <c r="H23" s="24">
        <v>80</v>
      </c>
      <c r="I23" s="72">
        <f>60*H23/G23</f>
        <v>80</v>
      </c>
      <c r="J23" s="101">
        <f t="shared" si="11"/>
        <v>19.200000000000003</v>
      </c>
      <c r="K23" s="136">
        <f>J23/E23</f>
        <v>0.3690888119953864</v>
      </c>
      <c r="L23" s="41"/>
      <c r="M23" s="137">
        <f t="shared" si="18"/>
        <v>0.88888888888888884</v>
      </c>
      <c r="N23" s="73"/>
      <c r="O23" s="43"/>
      <c r="P23" s="43"/>
    </row>
    <row r="24" spans="1:27" x14ac:dyDescent="0.25">
      <c r="A24" s="150"/>
      <c r="B24" s="150"/>
      <c r="C24" s="43"/>
      <c r="D24" s="43"/>
      <c r="E24" s="133"/>
      <c r="F24" s="100"/>
      <c r="G24" s="24"/>
      <c r="H24" s="24"/>
      <c r="I24" s="72"/>
      <c r="J24" s="101"/>
      <c r="K24" s="41"/>
      <c r="L24" s="41"/>
      <c r="M24" s="137">
        <f t="shared" si="18"/>
        <v>0</v>
      </c>
      <c r="N24" s="73"/>
      <c r="O24" s="43"/>
      <c r="P24" s="43"/>
    </row>
    <row r="25" spans="1:27" x14ac:dyDescent="0.25">
      <c r="A25" s="150">
        <f>Q3</f>
        <v>0</v>
      </c>
      <c r="B25" s="150">
        <f>P$5</f>
        <v>252</v>
      </c>
      <c r="C25" s="43">
        <v>322</v>
      </c>
      <c r="D25" s="43">
        <f>60/60</f>
        <v>1</v>
      </c>
      <c r="E25" s="133">
        <f>60/D25*C25/1000</f>
        <v>19.32</v>
      </c>
      <c r="F25" s="100">
        <f>E25-$J$7</f>
        <v>19.09</v>
      </c>
      <c r="G25" s="43">
        <v>60</v>
      </c>
      <c r="H25" s="43">
        <v>175</v>
      </c>
      <c r="I25" s="72">
        <f t="shared" ref="I25:I30" si="20">60*H25/G25</f>
        <v>175</v>
      </c>
      <c r="J25" s="101">
        <f t="shared" ref="J25:J30" si="21">I25/100*A25/100*0.8</f>
        <v>0</v>
      </c>
      <c r="K25" s="136">
        <f t="shared" ref="K25:K29" si="22">J25/E25</f>
        <v>0</v>
      </c>
      <c r="L25" s="41"/>
      <c r="M25" s="137"/>
      <c r="N25" s="73"/>
      <c r="O25" s="43"/>
      <c r="P25" s="43"/>
      <c r="Q25" s="69"/>
      <c r="R25" s="70"/>
      <c r="S25" s="70"/>
    </row>
    <row r="26" spans="1:27" x14ac:dyDescent="0.25">
      <c r="A26" s="150">
        <f t="shared" ref="A26:A30" si="23">Q4</f>
        <v>100</v>
      </c>
      <c r="B26" s="150">
        <f t="shared" ref="B26:B30" si="24">P$5</f>
        <v>252</v>
      </c>
      <c r="C26" s="43">
        <v>378</v>
      </c>
      <c r="D26" s="43">
        <f t="shared" ref="D26:D30" si="25">60/60</f>
        <v>1</v>
      </c>
      <c r="E26" s="133">
        <f t="shared" ref="E26:E30" si="26">60/D26*C26/1000</f>
        <v>22.68</v>
      </c>
      <c r="F26" s="100">
        <f t="shared" ref="F26:F30" si="27">E26-$J$7</f>
        <v>22.45</v>
      </c>
      <c r="G26" s="43">
        <v>60</v>
      </c>
      <c r="H26" s="24">
        <v>170</v>
      </c>
      <c r="I26" s="72">
        <f t="shared" si="20"/>
        <v>170</v>
      </c>
      <c r="J26" s="101">
        <f t="shared" si="21"/>
        <v>1.36</v>
      </c>
      <c r="K26" s="136">
        <f t="shared" si="22"/>
        <v>5.9964726631393302E-2</v>
      </c>
      <c r="L26" s="41"/>
      <c r="M26" s="137">
        <f>I26/$I$26</f>
        <v>1</v>
      </c>
      <c r="N26" s="73"/>
      <c r="O26" s="43"/>
      <c r="P26" s="43"/>
      <c r="Z26" s="40">
        <v>100</v>
      </c>
      <c r="AA26" s="40">
        <f t="shared" ref="AA26:AA28" si="28">Z26/400*600</f>
        <v>150</v>
      </c>
    </row>
    <row r="27" spans="1:27" x14ac:dyDescent="0.25">
      <c r="A27" s="150">
        <f t="shared" si="23"/>
        <v>500</v>
      </c>
      <c r="B27" s="150">
        <f t="shared" si="24"/>
        <v>252</v>
      </c>
      <c r="C27" s="43">
        <v>462</v>
      </c>
      <c r="D27" s="43">
        <f t="shared" si="25"/>
        <v>1</v>
      </c>
      <c r="E27" s="133">
        <f t="shared" si="26"/>
        <v>27.72</v>
      </c>
      <c r="F27" s="100">
        <f t="shared" si="27"/>
        <v>27.49</v>
      </c>
      <c r="G27" s="43">
        <v>60</v>
      </c>
      <c r="H27" s="24">
        <v>165</v>
      </c>
      <c r="I27" s="72">
        <f t="shared" si="20"/>
        <v>165</v>
      </c>
      <c r="J27" s="101">
        <f t="shared" si="21"/>
        <v>6.6000000000000005</v>
      </c>
      <c r="K27" s="136">
        <f t="shared" si="22"/>
        <v>0.23809523809523814</v>
      </c>
      <c r="L27" s="41"/>
      <c r="M27" s="137">
        <f t="shared" ref="M27:M30" si="29">I27/$I$26</f>
        <v>0.97058823529411764</v>
      </c>
      <c r="N27" s="73"/>
      <c r="O27" s="43"/>
      <c r="P27" s="43"/>
      <c r="Z27" s="40">
        <v>200</v>
      </c>
      <c r="AA27" s="40">
        <f t="shared" si="28"/>
        <v>300</v>
      </c>
    </row>
    <row r="28" spans="1:27" x14ac:dyDescent="0.25">
      <c r="A28" s="150">
        <f t="shared" si="23"/>
        <v>1000</v>
      </c>
      <c r="B28" s="150">
        <f t="shared" si="24"/>
        <v>252</v>
      </c>
      <c r="C28" s="43">
        <v>593</v>
      </c>
      <c r="D28" s="43">
        <f t="shared" si="25"/>
        <v>1</v>
      </c>
      <c r="E28" s="133">
        <f t="shared" si="26"/>
        <v>35.58</v>
      </c>
      <c r="F28" s="100">
        <f t="shared" si="27"/>
        <v>35.35</v>
      </c>
      <c r="G28" s="43">
        <v>60</v>
      </c>
      <c r="H28" s="24">
        <v>160</v>
      </c>
      <c r="I28" s="72">
        <f t="shared" si="20"/>
        <v>160</v>
      </c>
      <c r="J28" s="101">
        <f t="shared" si="21"/>
        <v>12.8</v>
      </c>
      <c r="K28" s="136">
        <f t="shared" si="22"/>
        <v>0.35975267003934797</v>
      </c>
      <c r="L28" s="41"/>
      <c r="M28" s="137">
        <f t="shared" si="29"/>
        <v>0.94117647058823528</v>
      </c>
      <c r="N28" s="73"/>
      <c r="O28" s="43"/>
      <c r="P28" s="43"/>
      <c r="Z28" s="40">
        <v>300</v>
      </c>
      <c r="AA28" s="40">
        <f t="shared" si="28"/>
        <v>450</v>
      </c>
    </row>
    <row r="29" spans="1:27" x14ac:dyDescent="0.25">
      <c r="A29" s="150">
        <f t="shared" si="23"/>
        <v>2000</v>
      </c>
      <c r="B29" s="150">
        <f t="shared" si="24"/>
        <v>252</v>
      </c>
      <c r="C29" s="43">
        <v>882</v>
      </c>
      <c r="D29" s="43">
        <f t="shared" si="25"/>
        <v>1</v>
      </c>
      <c r="E29" s="133">
        <f t="shared" si="26"/>
        <v>52.92</v>
      </c>
      <c r="F29" s="100">
        <f t="shared" si="27"/>
        <v>52.690000000000005</v>
      </c>
      <c r="G29" s="43">
        <v>60</v>
      </c>
      <c r="H29" s="24">
        <v>155</v>
      </c>
      <c r="I29" s="72">
        <f t="shared" si="20"/>
        <v>155</v>
      </c>
      <c r="J29" s="101">
        <f t="shared" si="21"/>
        <v>24.8</v>
      </c>
      <c r="K29" s="136">
        <f t="shared" si="22"/>
        <v>0.46863189720332576</v>
      </c>
      <c r="L29" s="41"/>
      <c r="M29" s="137">
        <f t="shared" si="29"/>
        <v>0.91176470588235292</v>
      </c>
      <c r="N29" s="73"/>
      <c r="O29" s="43"/>
      <c r="P29" s="43"/>
      <c r="Z29" s="40">
        <v>400</v>
      </c>
      <c r="AA29" s="40">
        <f>Z29/400*600</f>
        <v>600</v>
      </c>
    </row>
    <row r="30" spans="1:27" x14ac:dyDescent="0.25">
      <c r="A30" s="150">
        <f t="shared" si="23"/>
        <v>3000</v>
      </c>
      <c r="B30" s="150">
        <f t="shared" si="24"/>
        <v>252</v>
      </c>
      <c r="C30" s="43">
        <v>1230</v>
      </c>
      <c r="D30" s="43">
        <f t="shared" si="25"/>
        <v>1</v>
      </c>
      <c r="E30" s="133">
        <f t="shared" si="26"/>
        <v>73.8</v>
      </c>
      <c r="F30" s="100">
        <f t="shared" si="27"/>
        <v>73.569999999999993</v>
      </c>
      <c r="G30" s="43">
        <v>60</v>
      </c>
      <c r="H30" s="24">
        <v>150</v>
      </c>
      <c r="I30" s="72">
        <f t="shared" si="20"/>
        <v>150</v>
      </c>
      <c r="J30" s="101">
        <f t="shared" si="21"/>
        <v>36</v>
      </c>
      <c r="K30" s="136">
        <f>J30/E30</f>
        <v>0.48780487804878053</v>
      </c>
      <c r="L30" s="41"/>
      <c r="M30" s="137">
        <f t="shared" si="29"/>
        <v>0.88235294117647056</v>
      </c>
      <c r="N30" s="73"/>
      <c r="O30" s="43"/>
      <c r="P30" s="43"/>
    </row>
    <row r="31" spans="1:27" x14ac:dyDescent="0.25">
      <c r="A31" s="74"/>
      <c r="B31" s="150"/>
      <c r="C31" s="43"/>
      <c r="D31" s="43"/>
      <c r="E31" s="133"/>
      <c r="F31" s="100"/>
      <c r="G31" s="24"/>
      <c r="H31" s="24"/>
      <c r="I31" s="72"/>
      <c r="J31" s="101"/>
      <c r="K31" s="41"/>
      <c r="L31" s="41"/>
      <c r="M31" s="137"/>
      <c r="N31" s="73"/>
      <c r="O31" s="43"/>
      <c r="P31" s="43"/>
    </row>
    <row r="32" spans="1:27" x14ac:dyDescent="0.25">
      <c r="A32" s="150">
        <f>Q3</f>
        <v>0</v>
      </c>
      <c r="B32" s="150">
        <f>P$6</f>
        <v>368</v>
      </c>
      <c r="C32" s="43">
        <v>435</v>
      </c>
      <c r="D32" s="112">
        <f>60/60</f>
        <v>1</v>
      </c>
      <c r="E32" s="133">
        <f>60/D32*C32/1000</f>
        <v>26.1</v>
      </c>
      <c r="F32" s="100">
        <f>E32-$J$7</f>
        <v>25.87</v>
      </c>
      <c r="G32" s="24">
        <v>60</v>
      </c>
      <c r="H32" s="24">
        <v>250</v>
      </c>
      <c r="I32" s="72">
        <f t="shared" ref="I32:I37" si="30">60*H32/G32</f>
        <v>250</v>
      </c>
      <c r="J32" s="101">
        <f t="shared" ref="J32:J37" si="31">I32/100*A32/100*0.8</f>
        <v>0</v>
      </c>
      <c r="K32" s="136">
        <f t="shared" ref="K32:K36" si="32">J32/E32</f>
        <v>0</v>
      </c>
      <c r="L32" s="41"/>
      <c r="M32" s="137"/>
      <c r="N32" s="73"/>
      <c r="O32" s="43"/>
      <c r="P32" s="43"/>
      <c r="Q32" s="69"/>
      <c r="R32" s="70"/>
      <c r="S32" s="70"/>
    </row>
    <row r="33" spans="1:27" x14ac:dyDescent="0.25">
      <c r="A33" s="150">
        <f t="shared" ref="A33:A37" si="33">Q4</f>
        <v>100</v>
      </c>
      <c r="B33" s="150">
        <f t="shared" ref="B33:B37" si="34">P$6</f>
        <v>368</v>
      </c>
      <c r="C33" s="43">
        <v>542</v>
      </c>
      <c r="D33" s="112">
        <f>62/60</f>
        <v>1.0333333333333334</v>
      </c>
      <c r="E33" s="133">
        <f t="shared" ref="E33:E37" si="35">60/D33*C33/1000</f>
        <v>31.470967741935478</v>
      </c>
      <c r="F33" s="100">
        <f t="shared" ref="F33:F37" si="36">E33-$J$7</f>
        <v>31.240967741935478</v>
      </c>
      <c r="G33" s="24">
        <v>60</v>
      </c>
      <c r="H33" s="24">
        <v>245</v>
      </c>
      <c r="I33" s="72">
        <f t="shared" si="30"/>
        <v>245</v>
      </c>
      <c r="J33" s="101">
        <f t="shared" si="31"/>
        <v>1.9600000000000002</v>
      </c>
      <c r="K33" s="136">
        <f t="shared" si="32"/>
        <v>6.2279622796227979E-2</v>
      </c>
      <c r="L33" s="41"/>
      <c r="M33" s="137">
        <f>I33/$I$33</f>
        <v>1</v>
      </c>
      <c r="N33" s="73"/>
      <c r="O33" s="43"/>
      <c r="P33" s="43"/>
      <c r="Z33" s="40">
        <v>100</v>
      </c>
      <c r="AA33" s="40">
        <f t="shared" ref="AA33:AA35" si="37">Z33/400*600</f>
        <v>150</v>
      </c>
    </row>
    <row r="34" spans="1:27" x14ac:dyDescent="0.25">
      <c r="A34" s="150">
        <f t="shared" si="33"/>
        <v>500</v>
      </c>
      <c r="B34" s="150">
        <f t="shared" si="34"/>
        <v>368</v>
      </c>
      <c r="C34" s="43">
        <v>761</v>
      </c>
      <c r="D34" s="112">
        <f>72/60</f>
        <v>1.2</v>
      </c>
      <c r="E34" s="133">
        <f t="shared" si="35"/>
        <v>38.049999999999997</v>
      </c>
      <c r="F34" s="100">
        <f t="shared" si="36"/>
        <v>37.82</v>
      </c>
      <c r="G34" s="24">
        <v>60</v>
      </c>
      <c r="H34" s="24">
        <v>240</v>
      </c>
      <c r="I34" s="72">
        <f t="shared" si="30"/>
        <v>240</v>
      </c>
      <c r="J34" s="101">
        <f t="shared" si="31"/>
        <v>9.6000000000000014</v>
      </c>
      <c r="K34" s="136">
        <f t="shared" si="32"/>
        <v>0.252299605781866</v>
      </c>
      <c r="L34" s="41"/>
      <c r="M34" s="137">
        <f t="shared" ref="M34:M37" si="38">I34/$I$33</f>
        <v>0.97959183673469385</v>
      </c>
      <c r="N34" s="73"/>
      <c r="O34" s="43"/>
      <c r="P34" s="43"/>
      <c r="Z34" s="40">
        <v>200</v>
      </c>
      <c r="AA34" s="40">
        <f t="shared" si="37"/>
        <v>300</v>
      </c>
    </row>
    <row r="35" spans="1:27" x14ac:dyDescent="0.25">
      <c r="A35" s="150">
        <f t="shared" si="33"/>
        <v>1000</v>
      </c>
      <c r="B35" s="150">
        <f t="shared" si="34"/>
        <v>368</v>
      </c>
      <c r="C35" s="43">
        <v>813</v>
      </c>
      <c r="D35" s="112">
        <f>60/60</f>
        <v>1</v>
      </c>
      <c r="E35" s="133">
        <f t="shared" si="35"/>
        <v>48.78</v>
      </c>
      <c r="F35" s="100">
        <f t="shared" si="36"/>
        <v>48.550000000000004</v>
      </c>
      <c r="G35" s="24">
        <v>60</v>
      </c>
      <c r="H35" s="24">
        <v>235</v>
      </c>
      <c r="I35" s="72">
        <f t="shared" si="30"/>
        <v>235</v>
      </c>
      <c r="J35" s="101">
        <f t="shared" si="31"/>
        <v>18.8</v>
      </c>
      <c r="K35" s="136">
        <f t="shared" si="32"/>
        <v>0.38540385403854038</v>
      </c>
      <c r="L35" s="41"/>
      <c r="M35" s="137">
        <f t="shared" si="38"/>
        <v>0.95918367346938771</v>
      </c>
      <c r="N35" s="73"/>
      <c r="O35" s="43"/>
      <c r="P35" s="43"/>
      <c r="Z35" s="40">
        <v>300</v>
      </c>
      <c r="AA35" s="40">
        <f t="shared" si="37"/>
        <v>450</v>
      </c>
    </row>
    <row r="36" spans="1:27" x14ac:dyDescent="0.25">
      <c r="A36" s="150">
        <f t="shared" si="33"/>
        <v>2000</v>
      </c>
      <c r="B36" s="150">
        <f t="shared" si="34"/>
        <v>368</v>
      </c>
      <c r="C36" s="43">
        <v>1199</v>
      </c>
      <c r="D36" s="112">
        <f t="shared" ref="D36:D37" si="39">60/60</f>
        <v>1</v>
      </c>
      <c r="E36" s="133">
        <f t="shared" si="35"/>
        <v>71.94</v>
      </c>
      <c r="F36" s="100">
        <f t="shared" si="36"/>
        <v>71.709999999999994</v>
      </c>
      <c r="G36" s="24">
        <v>60</v>
      </c>
      <c r="H36" s="24">
        <v>225</v>
      </c>
      <c r="I36" s="72">
        <f t="shared" si="30"/>
        <v>225</v>
      </c>
      <c r="J36" s="101">
        <f t="shared" si="31"/>
        <v>36</v>
      </c>
      <c r="K36" s="136">
        <f t="shared" si="32"/>
        <v>0.50041701417848206</v>
      </c>
      <c r="L36" s="41"/>
      <c r="M36" s="137">
        <f t="shared" si="38"/>
        <v>0.91836734693877553</v>
      </c>
      <c r="N36" s="73"/>
      <c r="O36" s="43"/>
      <c r="P36" s="43"/>
      <c r="Z36" s="40">
        <v>400</v>
      </c>
      <c r="AA36" s="40">
        <f>Z36/400*600</f>
        <v>600</v>
      </c>
    </row>
    <row r="37" spans="1:27" x14ac:dyDescent="0.25">
      <c r="A37" s="150">
        <f t="shared" si="33"/>
        <v>3000</v>
      </c>
      <c r="B37" s="150">
        <f t="shared" si="34"/>
        <v>368</v>
      </c>
      <c r="C37" s="43">
        <v>1605</v>
      </c>
      <c r="D37" s="112">
        <f t="shared" si="39"/>
        <v>1</v>
      </c>
      <c r="E37" s="133">
        <f t="shared" si="35"/>
        <v>96.3</v>
      </c>
      <c r="F37" s="100">
        <f t="shared" si="36"/>
        <v>96.07</v>
      </c>
      <c r="G37" s="24">
        <v>60</v>
      </c>
      <c r="H37" s="24">
        <v>215</v>
      </c>
      <c r="I37" s="72">
        <f t="shared" si="30"/>
        <v>215</v>
      </c>
      <c r="J37" s="101">
        <f t="shared" si="31"/>
        <v>51.6</v>
      </c>
      <c r="K37" s="136">
        <f>J37/E37</f>
        <v>0.53582554517133962</v>
      </c>
      <c r="L37" s="41"/>
      <c r="M37" s="137">
        <f t="shared" si="38"/>
        <v>0.87755102040816324</v>
      </c>
      <c r="N37" s="73"/>
      <c r="O37" s="43"/>
      <c r="P37" s="43"/>
    </row>
    <row r="38" spans="1:27" x14ac:dyDescent="0.25">
      <c r="A38" s="150"/>
      <c r="B38" s="150"/>
      <c r="C38" s="43"/>
      <c r="D38" s="112"/>
      <c r="E38" s="133"/>
      <c r="F38" s="100"/>
      <c r="G38" s="24"/>
      <c r="H38" s="24"/>
      <c r="I38" s="72"/>
      <c r="J38" s="101"/>
      <c r="K38" s="41"/>
      <c r="L38" s="41"/>
      <c r="M38" s="137"/>
      <c r="N38" s="73"/>
      <c r="O38" s="43"/>
      <c r="P38" s="43"/>
    </row>
    <row r="39" spans="1:27" x14ac:dyDescent="0.25">
      <c r="A39" s="150">
        <f>Q3</f>
        <v>0</v>
      </c>
      <c r="B39" s="150">
        <f>P$7</f>
        <v>484</v>
      </c>
      <c r="C39" s="43">
        <v>778</v>
      </c>
      <c r="D39" s="112">
        <f>83/60</f>
        <v>1.3833333333333333</v>
      </c>
      <c r="E39" s="133">
        <f>60/D39*C39/1000</f>
        <v>33.744578313253015</v>
      </c>
      <c r="F39" s="100">
        <f>E39-$J$7</f>
        <v>33.514578313253018</v>
      </c>
      <c r="G39" s="24">
        <v>60</v>
      </c>
      <c r="H39" s="24">
        <v>335</v>
      </c>
      <c r="I39" s="72">
        <f t="shared" ref="I39:I44" si="40">60*H39/G39</f>
        <v>335</v>
      </c>
      <c r="J39" s="101">
        <f t="shared" ref="J39:J44" si="41">I39/100*A39/100*0.8</f>
        <v>0</v>
      </c>
      <c r="K39" s="136">
        <f t="shared" ref="K39:K43" si="42">J39/E39</f>
        <v>0</v>
      </c>
      <c r="L39" s="41"/>
      <c r="M39" s="137"/>
      <c r="N39" s="73"/>
      <c r="O39" s="43"/>
      <c r="P39" s="43"/>
      <c r="Q39" s="69"/>
      <c r="R39" s="70"/>
      <c r="S39" s="70"/>
    </row>
    <row r="40" spans="1:27" x14ac:dyDescent="0.25">
      <c r="A40" s="150">
        <f t="shared" ref="A40:A44" si="43">Q4</f>
        <v>100</v>
      </c>
      <c r="B40" s="150">
        <f t="shared" ref="B40:B44" si="44">P$7</f>
        <v>484</v>
      </c>
      <c r="C40" s="43">
        <v>813</v>
      </c>
      <c r="D40" s="112">
        <f>73/60</f>
        <v>1.2166666666666666</v>
      </c>
      <c r="E40" s="133">
        <f t="shared" ref="E40:E44" si="45">60/D40*C40/1000</f>
        <v>40.093150684931508</v>
      </c>
      <c r="F40" s="100">
        <f t="shared" ref="F40:F44" si="46">E40-$J$7</f>
        <v>39.863150684931512</v>
      </c>
      <c r="G40" s="24">
        <v>60</v>
      </c>
      <c r="H40" s="24">
        <v>325</v>
      </c>
      <c r="I40" s="72">
        <f t="shared" si="40"/>
        <v>325</v>
      </c>
      <c r="J40" s="101">
        <f t="shared" si="41"/>
        <v>2.6</v>
      </c>
      <c r="K40" s="136">
        <f t="shared" si="42"/>
        <v>6.4848981823151561E-2</v>
      </c>
      <c r="L40" s="41"/>
      <c r="M40" s="137">
        <f>I40/$I$40</f>
        <v>1</v>
      </c>
      <c r="N40" s="73"/>
      <c r="O40" s="43"/>
      <c r="P40" s="43"/>
      <c r="Z40" s="40">
        <v>100</v>
      </c>
      <c r="AA40" s="40">
        <f t="shared" ref="AA40:AA42" si="47">Z40/400*600</f>
        <v>150</v>
      </c>
    </row>
    <row r="41" spans="1:27" x14ac:dyDescent="0.25">
      <c r="A41" s="150">
        <f t="shared" si="43"/>
        <v>500</v>
      </c>
      <c r="B41" s="150">
        <f t="shared" si="44"/>
        <v>484</v>
      </c>
      <c r="C41" s="43">
        <v>1037</v>
      </c>
      <c r="D41" s="112">
        <f>75/60</f>
        <v>1.25</v>
      </c>
      <c r="E41" s="133">
        <f t="shared" si="45"/>
        <v>49.776000000000003</v>
      </c>
      <c r="F41" s="100">
        <f t="shared" si="46"/>
        <v>49.546000000000006</v>
      </c>
      <c r="G41" s="24">
        <v>60</v>
      </c>
      <c r="H41" s="24">
        <v>320</v>
      </c>
      <c r="I41" s="72">
        <f t="shared" si="40"/>
        <v>320</v>
      </c>
      <c r="J41" s="101">
        <f t="shared" si="41"/>
        <v>12.8</v>
      </c>
      <c r="K41" s="136">
        <f t="shared" si="42"/>
        <v>0.2571520411443266</v>
      </c>
      <c r="L41" s="41"/>
      <c r="M41" s="137">
        <f t="shared" ref="M41:M44" si="48">I41/$I$40</f>
        <v>0.98461538461538467</v>
      </c>
      <c r="N41" s="73"/>
      <c r="O41" s="43"/>
      <c r="P41" s="43"/>
      <c r="Z41" s="40">
        <v>200</v>
      </c>
      <c r="AA41" s="40">
        <f t="shared" si="47"/>
        <v>300</v>
      </c>
    </row>
    <row r="42" spans="1:27" x14ac:dyDescent="0.25">
      <c r="A42" s="150">
        <f t="shared" si="43"/>
        <v>1000</v>
      </c>
      <c r="B42" s="150">
        <f t="shared" si="44"/>
        <v>484</v>
      </c>
      <c r="C42" s="43">
        <v>1348</v>
      </c>
      <c r="D42" s="112">
        <f>76/60</f>
        <v>1.2666666666666666</v>
      </c>
      <c r="E42" s="133">
        <f t="shared" si="45"/>
        <v>63.852631578947374</v>
      </c>
      <c r="F42" s="100">
        <f t="shared" si="46"/>
        <v>63.622631578947377</v>
      </c>
      <c r="G42" s="24">
        <v>60</v>
      </c>
      <c r="H42" s="24">
        <v>310</v>
      </c>
      <c r="I42" s="72">
        <f t="shared" si="40"/>
        <v>310</v>
      </c>
      <c r="J42" s="101">
        <f t="shared" si="41"/>
        <v>24.8</v>
      </c>
      <c r="K42" s="136">
        <f t="shared" si="42"/>
        <v>0.38839432904714799</v>
      </c>
      <c r="L42" s="41"/>
      <c r="M42" s="137">
        <f t="shared" si="48"/>
        <v>0.9538461538461539</v>
      </c>
      <c r="N42" s="73"/>
      <c r="O42" s="43"/>
      <c r="P42" s="43"/>
      <c r="Z42" s="40">
        <v>300</v>
      </c>
      <c r="AA42" s="40">
        <f t="shared" si="47"/>
        <v>450</v>
      </c>
    </row>
    <row r="43" spans="1:27" x14ac:dyDescent="0.25">
      <c r="A43" s="150">
        <f t="shared" si="43"/>
        <v>2000</v>
      </c>
      <c r="B43" s="150">
        <f t="shared" si="44"/>
        <v>484</v>
      </c>
      <c r="C43" s="43">
        <v>1669</v>
      </c>
      <c r="D43" s="112">
        <f>69/60</f>
        <v>1.1499999999999999</v>
      </c>
      <c r="E43" s="133">
        <f t="shared" si="45"/>
        <v>87.078260869565227</v>
      </c>
      <c r="F43" s="100">
        <f t="shared" si="46"/>
        <v>86.848260869565223</v>
      </c>
      <c r="G43" s="24">
        <v>60</v>
      </c>
      <c r="H43" s="24">
        <v>295</v>
      </c>
      <c r="I43" s="72">
        <f t="shared" si="40"/>
        <v>295</v>
      </c>
      <c r="J43" s="101">
        <f t="shared" si="41"/>
        <v>47.2</v>
      </c>
      <c r="K43" s="136">
        <f t="shared" si="42"/>
        <v>0.54204114240063905</v>
      </c>
      <c r="L43" s="41"/>
      <c r="M43" s="137">
        <f t="shared" si="48"/>
        <v>0.90769230769230769</v>
      </c>
      <c r="N43" s="73"/>
      <c r="O43" s="43"/>
      <c r="P43" s="43"/>
      <c r="Z43" s="40">
        <v>400</v>
      </c>
      <c r="AA43" s="40">
        <f>Z43/400*600</f>
        <v>600</v>
      </c>
    </row>
    <row r="44" spans="1:27" x14ac:dyDescent="0.25">
      <c r="A44" s="150">
        <f t="shared" si="43"/>
        <v>3000</v>
      </c>
      <c r="B44" s="150">
        <f t="shared" si="44"/>
        <v>484</v>
      </c>
      <c r="C44" s="43">
        <v>2059</v>
      </c>
      <c r="D44" s="112">
        <f>62/60</f>
        <v>1.0333333333333334</v>
      </c>
      <c r="E44" s="133">
        <f t="shared" si="45"/>
        <v>119.5548387096774</v>
      </c>
      <c r="F44" s="100">
        <f t="shared" si="46"/>
        <v>119.32483870967739</v>
      </c>
      <c r="G44" s="24">
        <v>60</v>
      </c>
      <c r="H44" s="24">
        <v>285</v>
      </c>
      <c r="I44" s="72">
        <f t="shared" si="40"/>
        <v>285</v>
      </c>
      <c r="J44" s="101">
        <f t="shared" si="41"/>
        <v>68.400000000000006</v>
      </c>
      <c r="K44" s="136">
        <f>J44/E44</f>
        <v>0.57212238950947081</v>
      </c>
      <c r="L44" s="41"/>
      <c r="M44" s="137">
        <f t="shared" si="48"/>
        <v>0.87692307692307692</v>
      </c>
      <c r="N44" s="73"/>
      <c r="O44" s="43"/>
      <c r="P44" s="43"/>
    </row>
    <row r="45" spans="1:27" x14ac:dyDescent="0.25">
      <c r="A45" s="74"/>
      <c r="B45" s="150"/>
      <c r="C45" s="43"/>
      <c r="D45" s="112"/>
      <c r="E45" s="133"/>
      <c r="F45" s="100"/>
      <c r="G45" s="24"/>
      <c r="H45" s="24"/>
      <c r="I45" s="72"/>
      <c r="J45" s="101"/>
      <c r="K45" s="41"/>
      <c r="L45" s="41"/>
      <c r="M45" s="137"/>
      <c r="N45" s="73"/>
      <c r="O45" s="43"/>
      <c r="P45" s="43"/>
    </row>
    <row r="46" spans="1:27" x14ac:dyDescent="0.25">
      <c r="A46" s="150">
        <f>Q3</f>
        <v>0</v>
      </c>
      <c r="B46" s="150">
        <f>P$8</f>
        <v>600</v>
      </c>
      <c r="C46" s="43">
        <v>821</v>
      </c>
      <c r="D46" s="112">
        <v>1.2166666666666666</v>
      </c>
      <c r="E46" s="133">
        <f>60/D46*C46/1000</f>
        <v>40.487671232876714</v>
      </c>
      <c r="F46" s="100">
        <f>E46-$J$7</f>
        <v>40.257671232876717</v>
      </c>
      <c r="G46" s="24">
        <v>60</v>
      </c>
      <c r="H46" s="24">
        <v>410</v>
      </c>
      <c r="I46" s="72">
        <f t="shared" ref="I46:I51" si="49">60*H46/G46</f>
        <v>410</v>
      </c>
      <c r="J46" s="101">
        <f t="shared" ref="J46:J51" si="50">I46/100*A46/100*0.8</f>
        <v>0</v>
      </c>
      <c r="K46" s="136">
        <f t="shared" ref="K46:K50" si="51">J46/E46</f>
        <v>0</v>
      </c>
      <c r="L46" s="41"/>
      <c r="M46" s="137"/>
      <c r="N46" s="73"/>
      <c r="O46" s="43"/>
      <c r="P46" s="43"/>
      <c r="Q46" s="69"/>
      <c r="R46" s="70"/>
      <c r="S46" s="70"/>
    </row>
    <row r="47" spans="1:27" x14ac:dyDescent="0.25">
      <c r="A47" s="150">
        <f t="shared" ref="A47:A51" si="52">Q4</f>
        <v>100</v>
      </c>
      <c r="B47" s="150">
        <f t="shared" ref="B47:B51" si="53">P$8</f>
        <v>600</v>
      </c>
      <c r="C47" s="43">
        <v>960</v>
      </c>
      <c r="D47" s="112">
        <v>1.1666666666666667</v>
      </c>
      <c r="E47" s="133">
        <f t="shared" ref="E47:E51" si="54">60/D47*C47/1000</f>
        <v>49.371428571428567</v>
      </c>
      <c r="F47" s="100">
        <f t="shared" ref="F47:F51" si="55">E47-$J$7</f>
        <v>49.14142857142857</v>
      </c>
      <c r="G47" s="24">
        <v>60</v>
      </c>
      <c r="H47" s="24">
        <v>405</v>
      </c>
      <c r="I47" s="72">
        <f t="shared" si="49"/>
        <v>405</v>
      </c>
      <c r="J47" s="101">
        <f t="shared" si="50"/>
        <v>3.24</v>
      </c>
      <c r="K47" s="136">
        <f t="shared" si="51"/>
        <v>6.5625000000000017E-2</v>
      </c>
      <c r="L47" s="41"/>
      <c r="M47" s="137">
        <f>I47/$I$47</f>
        <v>1</v>
      </c>
      <c r="N47" s="73"/>
      <c r="O47" s="43"/>
      <c r="P47" s="43"/>
      <c r="R47" s="70"/>
      <c r="Z47" s="40">
        <v>100</v>
      </c>
      <c r="AA47" s="40">
        <f t="shared" ref="AA47:AA49" si="56">Z47/400*600</f>
        <v>150</v>
      </c>
    </row>
    <row r="48" spans="1:27" x14ac:dyDescent="0.25">
      <c r="A48" s="150">
        <f t="shared" si="52"/>
        <v>500</v>
      </c>
      <c r="B48" s="150">
        <f t="shared" si="53"/>
        <v>600</v>
      </c>
      <c r="C48" s="43">
        <v>1195</v>
      </c>
      <c r="D48" s="112">
        <v>1.2166666666666666</v>
      </c>
      <c r="E48" s="133">
        <f t="shared" si="54"/>
        <v>58.931506849315078</v>
      </c>
      <c r="F48" s="100">
        <f t="shared" si="55"/>
        <v>58.701506849315081</v>
      </c>
      <c r="G48" s="24">
        <v>60</v>
      </c>
      <c r="H48" s="24">
        <v>395</v>
      </c>
      <c r="I48" s="72">
        <f t="shared" si="49"/>
        <v>395</v>
      </c>
      <c r="J48" s="101">
        <f t="shared" si="50"/>
        <v>15.8</v>
      </c>
      <c r="K48" s="136">
        <f t="shared" si="51"/>
        <v>0.26810785681078564</v>
      </c>
      <c r="L48" s="41"/>
      <c r="M48" s="137">
        <f t="shared" ref="M48:M51" si="57">I48/$I$47</f>
        <v>0.97530864197530864</v>
      </c>
      <c r="N48" s="73"/>
      <c r="O48" s="43"/>
      <c r="P48" s="43"/>
      <c r="R48" s="70"/>
      <c r="Z48" s="40">
        <v>200</v>
      </c>
      <c r="AA48" s="40">
        <f t="shared" si="56"/>
        <v>300</v>
      </c>
    </row>
    <row r="49" spans="1:27" x14ac:dyDescent="0.25">
      <c r="A49" s="150">
        <f t="shared" si="52"/>
        <v>1000</v>
      </c>
      <c r="B49" s="150">
        <f t="shared" si="53"/>
        <v>600</v>
      </c>
      <c r="C49" s="43">
        <v>1778</v>
      </c>
      <c r="D49" s="112">
        <v>1.3833333333333333</v>
      </c>
      <c r="E49" s="133">
        <f t="shared" si="54"/>
        <v>77.118072289156629</v>
      </c>
      <c r="F49" s="100">
        <f t="shared" si="55"/>
        <v>76.888072289156625</v>
      </c>
      <c r="G49" s="24">
        <v>60</v>
      </c>
      <c r="H49" s="24">
        <v>390</v>
      </c>
      <c r="I49" s="72">
        <f t="shared" si="49"/>
        <v>390</v>
      </c>
      <c r="J49" s="101">
        <f t="shared" si="50"/>
        <v>31.200000000000003</v>
      </c>
      <c r="K49" s="136">
        <f t="shared" si="51"/>
        <v>0.40457442819647549</v>
      </c>
      <c r="L49" s="41"/>
      <c r="M49" s="137">
        <f t="shared" si="57"/>
        <v>0.96296296296296291</v>
      </c>
      <c r="N49" s="73"/>
      <c r="O49" s="43"/>
      <c r="P49" s="43"/>
      <c r="R49" s="70"/>
      <c r="Z49" s="40">
        <v>300</v>
      </c>
      <c r="AA49" s="40">
        <f t="shared" si="56"/>
        <v>450</v>
      </c>
    </row>
    <row r="50" spans="1:27" x14ac:dyDescent="0.25">
      <c r="A50" s="150">
        <f t="shared" si="52"/>
        <v>2000</v>
      </c>
      <c r="B50" s="150">
        <f t="shared" si="53"/>
        <v>600</v>
      </c>
      <c r="C50" s="43">
        <v>2562</v>
      </c>
      <c r="D50" s="112">
        <v>1.3833333333333333</v>
      </c>
      <c r="E50" s="133">
        <f t="shared" si="54"/>
        <v>111.12289156626505</v>
      </c>
      <c r="F50" s="100">
        <f t="shared" si="55"/>
        <v>110.89289156626505</v>
      </c>
      <c r="G50" s="24">
        <v>60</v>
      </c>
      <c r="H50" s="24">
        <v>360</v>
      </c>
      <c r="I50" s="72">
        <f t="shared" si="49"/>
        <v>360</v>
      </c>
      <c r="J50" s="101">
        <f t="shared" si="50"/>
        <v>57.6</v>
      </c>
      <c r="K50" s="136">
        <f t="shared" si="51"/>
        <v>0.51834504293520689</v>
      </c>
      <c r="L50" s="41"/>
      <c r="M50" s="137">
        <f t="shared" si="57"/>
        <v>0.88888888888888884</v>
      </c>
      <c r="N50" s="73"/>
      <c r="O50" s="43"/>
      <c r="P50" s="43"/>
      <c r="R50" s="70"/>
      <c r="Z50" s="40">
        <v>400</v>
      </c>
      <c r="AA50" s="40">
        <f>Z50/400*600</f>
        <v>600</v>
      </c>
    </row>
    <row r="51" spans="1:27" x14ac:dyDescent="0.25">
      <c r="A51" s="150">
        <f t="shared" si="52"/>
        <v>3000</v>
      </c>
      <c r="B51" s="150">
        <f t="shared" si="53"/>
        <v>600</v>
      </c>
      <c r="C51" s="43">
        <v>2402</v>
      </c>
      <c r="D51" s="112">
        <v>1</v>
      </c>
      <c r="E51" s="133">
        <f t="shared" si="54"/>
        <v>144.12</v>
      </c>
      <c r="F51" s="100">
        <f t="shared" si="55"/>
        <v>143.89000000000001</v>
      </c>
      <c r="G51" s="24">
        <v>60</v>
      </c>
      <c r="H51" s="24">
        <v>345</v>
      </c>
      <c r="I51" s="72">
        <f t="shared" si="49"/>
        <v>345</v>
      </c>
      <c r="J51" s="101">
        <f t="shared" si="50"/>
        <v>82.800000000000011</v>
      </c>
      <c r="K51" s="136">
        <f>J51/E51</f>
        <v>0.57452123230641139</v>
      </c>
      <c r="L51" s="41"/>
      <c r="M51" s="137">
        <f t="shared" si="57"/>
        <v>0.85185185185185186</v>
      </c>
      <c r="N51" s="73"/>
      <c r="O51" s="43"/>
      <c r="P51" s="43"/>
      <c r="R51" s="70"/>
    </row>
    <row r="52" spans="1:27" x14ac:dyDescent="0.25">
      <c r="A52" s="43"/>
      <c r="B52" s="150"/>
      <c r="C52" s="41"/>
      <c r="D52" s="41"/>
      <c r="E52" s="41"/>
      <c r="F52" s="75"/>
      <c r="G52" s="41"/>
      <c r="H52" s="43"/>
      <c r="I52" s="76"/>
      <c r="J52" s="71"/>
      <c r="K52" s="41"/>
      <c r="L52" s="41"/>
      <c r="M52" s="137"/>
      <c r="N52" s="73"/>
      <c r="O52" s="43"/>
      <c r="P52" s="43"/>
    </row>
    <row r="53" spans="1:27" x14ac:dyDescent="0.25">
      <c r="A53" s="43"/>
      <c r="B53" s="74"/>
      <c r="C53" s="41"/>
      <c r="D53" s="41"/>
      <c r="E53" s="41"/>
      <c r="F53" s="41"/>
      <c r="G53" s="41"/>
      <c r="H53" s="43"/>
      <c r="I53" s="76"/>
      <c r="J53" s="71"/>
      <c r="K53" s="41"/>
      <c r="L53" s="41"/>
      <c r="M53" s="137"/>
      <c r="N53" s="73"/>
      <c r="O53" s="43"/>
      <c r="P53" s="43"/>
    </row>
    <row r="54" spans="1:27" x14ac:dyDescent="0.25">
      <c r="A54" s="43"/>
      <c r="B54" s="150"/>
      <c r="C54" s="41"/>
      <c r="D54" s="41"/>
      <c r="E54" s="41"/>
      <c r="F54" s="41"/>
      <c r="G54" s="41"/>
      <c r="H54" s="43"/>
      <c r="I54" s="76"/>
      <c r="J54" s="71"/>
      <c r="K54" s="41"/>
      <c r="L54" s="41"/>
      <c r="M54" s="137"/>
      <c r="N54" s="73"/>
      <c r="O54" s="43"/>
      <c r="P54" s="43"/>
    </row>
    <row r="55" spans="1:27" x14ac:dyDescent="0.25">
      <c r="A55" s="47"/>
      <c r="B55" s="150"/>
      <c r="C55" s="41"/>
      <c r="D55" s="41"/>
      <c r="E55" s="41"/>
      <c r="F55" s="41"/>
      <c r="G55" s="41"/>
      <c r="H55" s="43"/>
      <c r="I55" s="76"/>
      <c r="J55" s="71"/>
      <c r="K55" s="41"/>
      <c r="L55" s="41"/>
      <c r="M55" s="137"/>
      <c r="N55" s="73"/>
      <c r="O55" s="43"/>
      <c r="P55" s="43"/>
    </row>
    <row r="56" spans="1:27" x14ac:dyDescent="0.25">
      <c r="A56" s="71"/>
      <c r="B56" s="74"/>
      <c r="C56" s="41"/>
      <c r="D56" s="41"/>
      <c r="E56" s="41"/>
      <c r="F56" s="41"/>
      <c r="G56" s="41"/>
      <c r="H56" s="43"/>
      <c r="I56" s="76"/>
      <c r="J56" s="71"/>
      <c r="K56" s="41"/>
      <c r="L56" s="41"/>
      <c r="M56" s="137"/>
      <c r="N56" s="73"/>
      <c r="O56" s="43"/>
      <c r="P56" s="43"/>
    </row>
    <row r="57" spans="1:27" x14ac:dyDescent="0.25">
      <c r="A57" s="47"/>
      <c r="B57" s="150"/>
      <c r="C57" s="41"/>
      <c r="D57" s="41"/>
      <c r="E57" s="41"/>
      <c r="F57" s="41"/>
      <c r="G57" s="41"/>
      <c r="H57" s="43"/>
      <c r="I57" s="43"/>
      <c r="J57" s="47"/>
      <c r="K57" s="41"/>
      <c r="L57" s="41"/>
      <c r="M57" s="137"/>
      <c r="N57" s="73"/>
      <c r="O57" s="43"/>
      <c r="P57" s="43"/>
    </row>
    <row r="58" spans="1:27" x14ac:dyDescent="0.25">
      <c r="A58" s="47"/>
      <c r="B58" s="150"/>
      <c r="C58" s="41"/>
      <c r="D58" s="41"/>
      <c r="E58" s="41"/>
      <c r="F58" s="41"/>
      <c r="G58" s="136"/>
      <c r="H58" s="43"/>
      <c r="I58" s="43"/>
      <c r="J58" s="47"/>
      <c r="K58" s="41"/>
      <c r="L58" s="41"/>
      <c r="M58" s="137"/>
      <c r="N58" s="73"/>
      <c r="O58" s="43"/>
      <c r="P58" s="43"/>
    </row>
    <row r="59" spans="1:27" x14ac:dyDescent="0.25">
      <c r="A59" s="47"/>
      <c r="B59" s="150"/>
      <c r="C59" s="41"/>
      <c r="D59" s="41"/>
      <c r="E59" s="41"/>
      <c r="F59" s="41"/>
      <c r="G59" s="41"/>
      <c r="H59" s="43"/>
      <c r="I59" s="43"/>
      <c r="J59" s="47"/>
      <c r="K59" s="41"/>
      <c r="L59" s="41"/>
      <c r="M59" s="137"/>
      <c r="N59" s="73"/>
      <c r="O59" s="43"/>
      <c r="P59" s="43"/>
    </row>
    <row r="60" spans="1:27" x14ac:dyDescent="0.25">
      <c r="A60" s="47"/>
      <c r="B60" s="150"/>
      <c r="C60" s="41"/>
      <c r="D60" s="41"/>
      <c r="E60" s="41"/>
      <c r="F60" s="41"/>
      <c r="G60" s="41"/>
      <c r="H60" s="43"/>
      <c r="I60" s="43"/>
      <c r="J60" s="47"/>
      <c r="K60" s="41"/>
      <c r="L60" s="41"/>
      <c r="M60" s="137"/>
      <c r="N60" s="73"/>
      <c r="O60" s="43"/>
      <c r="P60" s="43"/>
    </row>
    <row r="61" spans="1:27" x14ac:dyDescent="0.25">
      <c r="A61" s="47"/>
      <c r="B61" s="150"/>
      <c r="C61" s="41"/>
      <c r="D61" s="41"/>
      <c r="E61" s="41"/>
      <c r="F61" s="41"/>
      <c r="G61" s="41"/>
      <c r="H61" s="43"/>
      <c r="I61" s="43"/>
      <c r="J61" s="47"/>
      <c r="K61" s="41"/>
      <c r="L61" s="41"/>
      <c r="M61" s="137"/>
      <c r="N61" s="73"/>
      <c r="O61" s="43"/>
      <c r="P61" s="43"/>
    </row>
    <row r="63" spans="1:27" x14ac:dyDescent="0.25">
      <c r="L63" s="80" t="s">
        <v>17</v>
      </c>
      <c r="M63" s="125"/>
      <c r="N63" s="123" t="s">
        <v>228</v>
      </c>
    </row>
    <row r="64" spans="1:27" x14ac:dyDescent="0.25">
      <c r="K64" s="79" t="s">
        <v>176</v>
      </c>
      <c r="L64" s="81">
        <f>B11</f>
        <v>20</v>
      </c>
      <c r="M64" s="80">
        <f>B18</f>
        <v>136</v>
      </c>
      <c r="N64" s="80">
        <f>B25</f>
        <v>252</v>
      </c>
      <c r="O64" s="80">
        <f>B32</f>
        <v>368</v>
      </c>
      <c r="P64" s="80">
        <f>B39</f>
        <v>484</v>
      </c>
      <c r="Q64" s="80">
        <f>B46</f>
        <v>600</v>
      </c>
    </row>
    <row r="65" spans="1:18" x14ac:dyDescent="0.25">
      <c r="K65" s="82">
        <f>Q3</f>
        <v>0</v>
      </c>
      <c r="L65" s="140">
        <f>I11</f>
        <v>14</v>
      </c>
      <c r="M65" s="93">
        <f>I18</f>
        <v>95</v>
      </c>
      <c r="N65" s="93">
        <f>I25</f>
        <v>175</v>
      </c>
      <c r="O65" s="93">
        <f>I32</f>
        <v>250</v>
      </c>
      <c r="P65" s="93">
        <f>I39</f>
        <v>335</v>
      </c>
      <c r="Q65" s="93">
        <f>I46</f>
        <v>410</v>
      </c>
    </row>
    <row r="66" spans="1:18" x14ac:dyDescent="0.25">
      <c r="K66" s="82">
        <f t="shared" ref="K66:K70" si="58">Q4</f>
        <v>100</v>
      </c>
      <c r="L66" s="140">
        <f t="shared" ref="L66:L70" si="59">I12</f>
        <v>13</v>
      </c>
      <c r="M66" s="93">
        <f t="shared" ref="M66:M70" si="60">I19</f>
        <v>90</v>
      </c>
      <c r="N66" s="93">
        <f t="shared" ref="N66:N70" si="61">I26</f>
        <v>170</v>
      </c>
      <c r="O66" s="93">
        <f t="shared" ref="O66:O70" si="62">I33</f>
        <v>245</v>
      </c>
      <c r="P66" s="93">
        <f t="shared" ref="P66:P70" si="63">I40</f>
        <v>325</v>
      </c>
      <c r="Q66" s="93">
        <f t="shared" ref="Q66:Q70" si="64">I47</f>
        <v>405</v>
      </c>
    </row>
    <row r="67" spans="1:18" x14ac:dyDescent="0.25">
      <c r="K67" s="82">
        <f t="shared" si="58"/>
        <v>500</v>
      </c>
      <c r="L67" s="140">
        <f t="shared" si="59"/>
        <v>13</v>
      </c>
      <c r="M67" s="93">
        <f t="shared" si="60"/>
        <v>90</v>
      </c>
      <c r="N67" s="93">
        <f t="shared" si="61"/>
        <v>165</v>
      </c>
      <c r="O67" s="93">
        <f t="shared" si="62"/>
        <v>240</v>
      </c>
      <c r="P67" s="93">
        <f t="shared" si="63"/>
        <v>320</v>
      </c>
      <c r="Q67" s="93">
        <f t="shared" si="64"/>
        <v>395</v>
      </c>
    </row>
    <row r="68" spans="1:18" x14ac:dyDescent="0.25">
      <c r="K68" s="82">
        <f t="shared" si="58"/>
        <v>1000</v>
      </c>
      <c r="L68" s="140">
        <f t="shared" si="59"/>
        <v>13</v>
      </c>
      <c r="M68" s="93">
        <f t="shared" si="60"/>
        <v>90</v>
      </c>
      <c r="N68" s="93">
        <f t="shared" si="61"/>
        <v>160</v>
      </c>
      <c r="O68" s="93">
        <f t="shared" si="62"/>
        <v>235</v>
      </c>
      <c r="P68" s="93">
        <f t="shared" si="63"/>
        <v>310</v>
      </c>
      <c r="Q68" s="93">
        <f t="shared" si="64"/>
        <v>390</v>
      </c>
    </row>
    <row r="69" spans="1:18" x14ac:dyDescent="0.25">
      <c r="K69" s="82">
        <f t="shared" si="58"/>
        <v>2000</v>
      </c>
      <c r="L69" s="140">
        <f t="shared" si="59"/>
        <v>12</v>
      </c>
      <c r="M69" s="93">
        <f t="shared" si="60"/>
        <v>85</v>
      </c>
      <c r="N69" s="93">
        <f t="shared" si="61"/>
        <v>155</v>
      </c>
      <c r="O69" s="93">
        <f t="shared" si="62"/>
        <v>225</v>
      </c>
      <c r="P69" s="93">
        <f t="shared" si="63"/>
        <v>295</v>
      </c>
      <c r="Q69" s="93">
        <f t="shared" si="64"/>
        <v>360</v>
      </c>
    </row>
    <row r="70" spans="1:18" x14ac:dyDescent="0.25">
      <c r="K70" s="82">
        <f t="shared" si="58"/>
        <v>3000</v>
      </c>
      <c r="L70" s="140">
        <f t="shared" si="59"/>
        <v>11</v>
      </c>
      <c r="M70" s="93">
        <f t="shared" si="60"/>
        <v>80</v>
      </c>
      <c r="N70" s="93">
        <f t="shared" si="61"/>
        <v>150</v>
      </c>
      <c r="O70" s="93">
        <f t="shared" si="62"/>
        <v>215</v>
      </c>
      <c r="P70" s="93">
        <f t="shared" si="63"/>
        <v>285</v>
      </c>
      <c r="Q70" s="93">
        <f t="shared" si="64"/>
        <v>345</v>
      </c>
    </row>
    <row r="71" spans="1:18" x14ac:dyDescent="0.25">
      <c r="K71" s="83"/>
      <c r="M71" s="125"/>
    </row>
    <row r="72" spans="1:18" x14ac:dyDescent="0.25">
      <c r="K72" s="123">
        <f>B80</f>
        <v>2040</v>
      </c>
      <c r="L72" s="40">
        <f t="shared" ref="L72:Q72" si="65">_xlfn.FORECAST.LINEAR($B$80,L65:L70,$K$65:$K$70)</f>
        <v>11.887809523809523</v>
      </c>
      <c r="M72" s="40">
        <f t="shared" si="65"/>
        <v>84.439047619047614</v>
      </c>
      <c r="N72" s="40">
        <f t="shared" si="65"/>
        <v>155.38285714285715</v>
      </c>
      <c r="O72" s="40">
        <f t="shared" si="65"/>
        <v>224.72714285714287</v>
      </c>
      <c r="P72" s="40">
        <f t="shared" si="65"/>
        <v>296.96238095238095</v>
      </c>
      <c r="Q72" s="40">
        <f t="shared" si="65"/>
        <v>363.68809523809529</v>
      </c>
      <c r="R72" s="123" t="s">
        <v>25</v>
      </c>
    </row>
    <row r="73" spans="1:18" x14ac:dyDescent="0.25">
      <c r="J73" s="123" t="s">
        <v>25</v>
      </c>
      <c r="K73" s="94">
        <f>B79</f>
        <v>9.463519999999999</v>
      </c>
      <c r="L73" s="95">
        <f>_xlfn.FORECAST.LINEAR(K73,L64:Q64,L72:Q72)</f>
        <v>13.592196105661632</v>
      </c>
      <c r="M73" s="125" t="s">
        <v>17</v>
      </c>
    </row>
    <row r="77" spans="1:18" x14ac:dyDescent="0.25">
      <c r="A77" s="49" t="s">
        <v>229</v>
      </c>
      <c r="B77" s="78">
        <v>1230</v>
      </c>
      <c r="C77" s="40" t="s">
        <v>25</v>
      </c>
      <c r="M77" s="125"/>
    </row>
    <row r="78" spans="1:18" x14ac:dyDescent="0.25">
      <c r="B78" s="77">
        <v>600</v>
      </c>
      <c r="C78" s="40" t="s">
        <v>17</v>
      </c>
      <c r="M78" s="125"/>
    </row>
    <row r="79" spans="1:18" x14ac:dyDescent="0.25">
      <c r="A79" s="40" t="s">
        <v>230</v>
      </c>
      <c r="B79" s="78">
        <f>Q</f>
        <v>9.463519999999999</v>
      </c>
      <c r="C79" s="40" t="s">
        <v>25</v>
      </c>
      <c r="M79" s="125"/>
    </row>
    <row r="80" spans="1:18" x14ac:dyDescent="0.25">
      <c r="A80" s="40" t="s">
        <v>231</v>
      </c>
      <c r="B80" s="78">
        <f>Pavg</f>
        <v>2040</v>
      </c>
      <c r="C80" s="40">
        <v>1000</v>
      </c>
      <c r="D80" s="40" t="s">
        <v>232</v>
      </c>
      <c r="M80" s="125"/>
    </row>
    <row r="81" spans="1:10" x14ac:dyDescent="0.25">
      <c r="A81" s="40" t="s">
        <v>233</v>
      </c>
      <c r="B81" s="77">
        <v>0</v>
      </c>
      <c r="C81" s="40" t="s">
        <v>234</v>
      </c>
      <c r="E81" s="40" t="s">
        <v>235</v>
      </c>
    </row>
    <row r="82" spans="1:10" x14ac:dyDescent="0.25">
      <c r="A82" s="40" t="s">
        <v>236</v>
      </c>
      <c r="B82" s="77">
        <f>L73</f>
        <v>13.592196105661632</v>
      </c>
    </row>
    <row r="83" spans="1:10" x14ac:dyDescent="0.25">
      <c r="A83" s="40" t="s">
        <v>237</v>
      </c>
      <c r="B83" s="77">
        <f>(1+(B80/C80*B81))*B82</f>
        <v>13.592196105661632</v>
      </c>
    </row>
    <row r="84" spans="1:10" x14ac:dyDescent="0.25">
      <c r="A84" s="40" t="s">
        <v>238</v>
      </c>
    </row>
    <row r="85" spans="1:10" x14ac:dyDescent="0.25">
      <c r="A85" s="79" t="s">
        <v>176</v>
      </c>
      <c r="E85" s="123" t="s">
        <v>239</v>
      </c>
      <c r="H85" s="40" t="s">
        <v>240</v>
      </c>
    </row>
    <row r="86" spans="1:10" x14ac:dyDescent="0.25">
      <c r="A86" s="80" t="s">
        <v>17</v>
      </c>
      <c r="B86" s="77">
        <v>0.1</v>
      </c>
      <c r="C86" s="81">
        <f>B11</f>
        <v>20</v>
      </c>
      <c r="D86" s="80">
        <f>B18</f>
        <v>136</v>
      </c>
      <c r="E86" s="80">
        <f>B25</f>
        <v>252</v>
      </c>
      <c r="F86" s="80">
        <f>B32</f>
        <v>368</v>
      </c>
      <c r="G86" s="80">
        <f>B39</f>
        <v>484</v>
      </c>
      <c r="H86" s="80">
        <f>B46</f>
        <v>600</v>
      </c>
      <c r="I86" s="40">
        <f>H86*10</f>
        <v>6000</v>
      </c>
    </row>
    <row r="87" spans="1:10" x14ac:dyDescent="0.25">
      <c r="A87" s="82">
        <f>Q3</f>
        <v>0</v>
      </c>
      <c r="B87" s="77">
        <f>$J$7</f>
        <v>0.22999999999999998</v>
      </c>
      <c r="C87" s="41">
        <f>F11</f>
        <v>3.67</v>
      </c>
      <c r="D87" s="43">
        <f>F18</f>
        <v>11.35</v>
      </c>
      <c r="E87" s="43">
        <f t="shared" ref="E87:E92" si="66">F25</f>
        <v>19.09</v>
      </c>
      <c r="F87" s="43">
        <f t="shared" ref="F87:F92" si="67">F32</f>
        <v>25.87</v>
      </c>
      <c r="G87" s="43">
        <f t="shared" ref="G87:G92" si="68">F39</f>
        <v>33.514578313253018</v>
      </c>
      <c r="H87" s="43">
        <f t="shared" ref="H87:H92" si="69">F46</f>
        <v>40.257671232876717</v>
      </c>
      <c r="I87" s="40">
        <f t="shared" ref="I87:I92" si="70">H87*10</f>
        <v>402.57671232876714</v>
      </c>
      <c r="J87" s="40">
        <f t="shared" ref="J87:J92" ca="1" si="71">_xlfn.FORECAST.LINEAR(__RPM1,OFFSET(B87:H87,0,MATCH(__RPM1,$B$86:$H$86,1)-1,1,2),OFFSET($B$86:$H$86,0,MATCH(__RPM1,$B$86:$H$86,1)-1,1,2))</f>
        <v>2.5623193268078399</v>
      </c>
    </row>
    <row r="88" spans="1:10" x14ac:dyDescent="0.25">
      <c r="A88" s="82">
        <f t="shared" ref="A88:A91" si="72">Q4</f>
        <v>100</v>
      </c>
      <c r="B88" s="77">
        <f t="shared" ref="B88:B92" si="73">$J$7</f>
        <v>0.22999999999999998</v>
      </c>
      <c r="C88" s="41">
        <f>E12</f>
        <v>4.5599999999999996</v>
      </c>
      <c r="D88" s="43">
        <f>E19</f>
        <v>13.8</v>
      </c>
      <c r="E88" s="43">
        <f t="shared" si="66"/>
        <v>22.45</v>
      </c>
      <c r="F88" s="43">
        <f t="shared" si="67"/>
        <v>31.240967741935478</v>
      </c>
      <c r="G88" s="43">
        <f t="shared" si="68"/>
        <v>39.863150684931512</v>
      </c>
      <c r="H88" s="43">
        <f t="shared" si="69"/>
        <v>49.14142857142857</v>
      </c>
      <c r="I88" s="40">
        <f t="shared" si="70"/>
        <v>491.41428571428571</v>
      </c>
      <c r="J88" s="40">
        <f t="shared" ca="1" si="71"/>
        <v>3.1657391526389373</v>
      </c>
    </row>
    <row r="89" spans="1:10" x14ac:dyDescent="0.25">
      <c r="A89" s="82">
        <f t="shared" si="72"/>
        <v>500</v>
      </c>
      <c r="B89" s="77">
        <f t="shared" si="73"/>
        <v>0.22999999999999998</v>
      </c>
      <c r="C89" s="41">
        <f>E13</f>
        <v>5.7</v>
      </c>
      <c r="D89" s="43">
        <f>E20</f>
        <v>16.920000000000002</v>
      </c>
      <c r="E89" s="43">
        <f t="shared" si="66"/>
        <v>27.49</v>
      </c>
      <c r="F89" s="43">
        <f t="shared" si="67"/>
        <v>37.82</v>
      </c>
      <c r="G89" s="43">
        <f t="shared" si="68"/>
        <v>49.546000000000006</v>
      </c>
      <c r="H89" s="43">
        <f t="shared" si="69"/>
        <v>58.701506849315081</v>
      </c>
      <c r="I89" s="40">
        <f t="shared" si="70"/>
        <v>587.01506849315081</v>
      </c>
      <c r="J89" s="40">
        <f t="shared" ca="1" si="71"/>
        <v>3.9386589295461869</v>
      </c>
    </row>
    <row r="90" spans="1:10" x14ac:dyDescent="0.25">
      <c r="A90" s="82">
        <f t="shared" si="72"/>
        <v>1000</v>
      </c>
      <c r="B90" s="77">
        <f t="shared" si="73"/>
        <v>0.22999999999999998</v>
      </c>
      <c r="C90" s="41">
        <f>E14</f>
        <v>7.86</v>
      </c>
      <c r="D90" s="43">
        <f>E21</f>
        <v>22.32</v>
      </c>
      <c r="E90" s="43">
        <f t="shared" si="66"/>
        <v>35.35</v>
      </c>
      <c r="F90" s="43">
        <f t="shared" si="67"/>
        <v>48.550000000000004</v>
      </c>
      <c r="G90" s="43">
        <f t="shared" si="68"/>
        <v>63.622631578947377</v>
      </c>
      <c r="H90" s="43">
        <f t="shared" si="69"/>
        <v>76.888072289156625</v>
      </c>
      <c r="I90" s="40">
        <f t="shared" si="70"/>
        <v>768.88072289156628</v>
      </c>
      <c r="J90" s="40">
        <f t="shared" ca="1" si="71"/>
        <v>5.4031385068441331</v>
      </c>
    </row>
    <row r="91" spans="1:10" x14ac:dyDescent="0.25">
      <c r="A91" s="82">
        <f t="shared" si="72"/>
        <v>2000</v>
      </c>
      <c r="B91" s="77">
        <f t="shared" si="73"/>
        <v>0.22999999999999998</v>
      </c>
      <c r="C91" s="41">
        <f>E15</f>
        <v>12.42</v>
      </c>
      <c r="D91" s="43">
        <f>E22</f>
        <v>38.22</v>
      </c>
      <c r="E91" s="43">
        <f t="shared" si="66"/>
        <v>52.690000000000005</v>
      </c>
      <c r="F91" s="43">
        <f t="shared" si="67"/>
        <v>71.709999999999994</v>
      </c>
      <c r="G91" s="43">
        <f t="shared" si="68"/>
        <v>86.848260869565223</v>
      </c>
      <c r="H91" s="43">
        <f t="shared" si="69"/>
        <v>110.89289156626505</v>
      </c>
      <c r="I91" s="40">
        <f t="shared" si="70"/>
        <v>1108.9289156626505</v>
      </c>
      <c r="J91" s="40">
        <f t="shared" ca="1" si="71"/>
        <v>8.4948176144731313</v>
      </c>
    </row>
    <row r="92" spans="1:10" x14ac:dyDescent="0.25">
      <c r="A92" s="82">
        <f>Q8+0.1</f>
        <v>3000.1</v>
      </c>
      <c r="B92" s="77">
        <f t="shared" si="73"/>
        <v>0.22999999999999998</v>
      </c>
      <c r="C92" s="41">
        <f>E16</f>
        <v>18.420000000000002</v>
      </c>
      <c r="D92" s="43">
        <f>E23</f>
        <v>52.02</v>
      </c>
      <c r="E92" s="43">
        <f t="shared" si="66"/>
        <v>73.569999999999993</v>
      </c>
      <c r="F92" s="43">
        <f t="shared" si="67"/>
        <v>96.07</v>
      </c>
      <c r="G92" s="43">
        <f t="shared" si="68"/>
        <v>119.32483870967739</v>
      </c>
      <c r="H92" s="43">
        <f t="shared" si="69"/>
        <v>143.89000000000001</v>
      </c>
      <c r="I92" s="40">
        <f t="shared" si="70"/>
        <v>1438.9</v>
      </c>
      <c r="J92" s="40">
        <f t="shared" ca="1" si="71"/>
        <v>12.562816440300759</v>
      </c>
    </row>
    <row r="95" spans="1:10" x14ac:dyDescent="0.25">
      <c r="A95" s="40" t="s">
        <v>241</v>
      </c>
      <c r="B95" s="84">
        <f>B83</f>
        <v>13.592196105661632</v>
      </c>
      <c r="C95" s="40" t="s">
        <v>17</v>
      </c>
    </row>
    <row r="96" spans="1:10" x14ac:dyDescent="0.25">
      <c r="A96" s="40" t="s">
        <v>242</v>
      </c>
      <c r="B96" s="84">
        <f>B80</f>
        <v>2040</v>
      </c>
      <c r="C96" s="40" t="s">
        <v>165</v>
      </c>
    </row>
    <row r="97" spans="1:3" x14ac:dyDescent="0.25">
      <c r="A97" s="40" t="s">
        <v>243</v>
      </c>
      <c r="B97" s="85">
        <f ca="1">_xlfn.FORECAST.LINEAR(Press1,OFFSET(J87:J92,MATCH(Press1,A87:A92,1)-1,0,2),OFFSET(A87:A92,MATCH(Press1,A87:A92,1)-1,0,2))</f>
        <v>8.6575212971379703</v>
      </c>
      <c r="C97" s="40" t="s">
        <v>18</v>
      </c>
    </row>
  </sheetData>
  <mergeCells count="3">
    <mergeCell ref="C9:E9"/>
    <mergeCell ref="F9:H9"/>
    <mergeCell ref="L9:N9"/>
  </mergeCells>
  <pageMargins left="0.70866141732283472" right="0.70866141732283472" top="0.74803149606299213" bottom="0.74803149606299213" header="0.31496062992125984" footer="0.31496062992125984"/>
  <pageSetup scale="63" orientation="landscape" r:id="rId1"/>
  <rowBreaks count="1" manualBreakCount="1">
    <brk id="54" max="1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085B9-FDF0-445D-A0FA-7B6F509BBE77}">
  <sheetPr>
    <tabColor rgb="FF5B9BD5"/>
  </sheetPr>
  <dimension ref="A1:AA97"/>
  <sheetViews>
    <sheetView workbookViewId="0">
      <selection activeCell="H3" sqref="H3:N7"/>
    </sheetView>
  </sheetViews>
  <sheetFormatPr defaultColWidth="9.140625" defaultRowHeight="15" x14ac:dyDescent="0.25"/>
  <cols>
    <col min="1" max="1" width="14.7109375" style="123" customWidth="1"/>
    <col min="2" max="2" width="11.28515625" style="124" customWidth="1"/>
    <col min="3" max="3" width="12.42578125" style="123" customWidth="1"/>
    <col min="4" max="4" width="19.140625" style="123" customWidth="1"/>
    <col min="5" max="5" width="13.7109375" style="123" customWidth="1"/>
    <col min="6" max="6" width="14.85546875" style="123" customWidth="1"/>
    <col min="7" max="7" width="13.140625" style="123" customWidth="1"/>
    <col min="8" max="8" width="9.140625" style="123" bestFit="1"/>
    <col min="9" max="9" width="12.140625" style="123" customWidth="1"/>
    <col min="10" max="10" width="10.5703125" style="123" customWidth="1"/>
    <col min="11" max="11" width="12" style="123" customWidth="1"/>
    <col min="12" max="12" width="9.140625" style="123" customWidth="1"/>
    <col min="13" max="13" width="9.140625" style="125"/>
    <col min="14" max="16384" width="9.140625" style="123"/>
  </cols>
  <sheetData>
    <row r="1" spans="1:27" x14ac:dyDescent="0.25">
      <c r="B1" s="126" t="s">
        <v>195</v>
      </c>
      <c r="C1" s="127">
        <v>44319</v>
      </c>
      <c r="D1" s="128" t="s">
        <v>196</v>
      </c>
      <c r="E1" s="128"/>
      <c r="F1" s="128"/>
    </row>
    <row r="2" spans="1:27" ht="21" x14ac:dyDescent="0.35">
      <c r="A2" s="45" t="s">
        <v>245</v>
      </c>
      <c r="B2" s="46"/>
      <c r="C2" s="45"/>
      <c r="D2" s="45"/>
      <c r="E2" s="45"/>
      <c r="F2" s="45"/>
      <c r="G2" s="45"/>
      <c r="H2" s="45"/>
      <c r="I2" s="45"/>
      <c r="J2" s="45"/>
      <c r="K2" s="45"/>
      <c r="L2" s="45"/>
      <c r="M2" s="123"/>
      <c r="P2" s="47" t="s">
        <v>198</v>
      </c>
      <c r="Q2" s="49" t="s">
        <v>199</v>
      </c>
    </row>
    <row r="3" spans="1:27" x14ac:dyDescent="0.25">
      <c r="A3" s="47" t="s">
        <v>200</v>
      </c>
      <c r="B3" s="150"/>
      <c r="C3" s="47" t="s">
        <v>246</v>
      </c>
      <c r="D3" s="47"/>
      <c r="E3" s="47"/>
      <c r="F3" s="47"/>
      <c r="G3" s="129"/>
      <c r="H3" s="43"/>
      <c r="I3" s="49"/>
      <c r="J3" s="40"/>
      <c r="K3" s="49"/>
      <c r="L3" s="49"/>
      <c r="M3" s="40"/>
      <c r="N3" s="40"/>
      <c r="P3" s="47">
        <v>20</v>
      </c>
      <c r="Q3" s="49">
        <v>0</v>
      </c>
    </row>
    <row r="4" spans="1:27" x14ac:dyDescent="0.25">
      <c r="A4" s="150" t="s">
        <v>204</v>
      </c>
      <c r="B4" s="150"/>
      <c r="C4" s="150">
        <v>0.3125</v>
      </c>
      <c r="D4" s="150"/>
      <c r="E4" s="150"/>
      <c r="F4" s="150"/>
      <c r="G4" s="51" t="s">
        <v>205</v>
      </c>
      <c r="H4" s="222" t="s">
        <v>355</v>
      </c>
      <c r="I4" s="223"/>
      <c r="J4" s="224" t="s">
        <v>18</v>
      </c>
      <c r="K4" s="225"/>
      <c r="L4" s="224"/>
      <c r="M4" s="226"/>
      <c r="N4" s="223"/>
      <c r="O4" s="47"/>
      <c r="P4" s="47">
        <f>(P$8-P$3)/5+P3</f>
        <v>136</v>
      </c>
      <c r="Q4" s="49">
        <v>500</v>
      </c>
    </row>
    <row r="5" spans="1:27" x14ac:dyDescent="0.25">
      <c r="A5" s="150" t="s">
        <v>206</v>
      </c>
      <c r="B5" s="150"/>
      <c r="C5" s="150" t="s">
        <v>247</v>
      </c>
      <c r="D5" s="150"/>
      <c r="E5" s="150"/>
      <c r="F5" s="150"/>
      <c r="G5" s="52" t="s">
        <v>207</v>
      </c>
      <c r="H5" s="227">
        <v>73.5</v>
      </c>
      <c r="I5" s="225"/>
      <c r="J5" s="223">
        <f>H5/1000*25</f>
        <v>1.8374999999999999</v>
      </c>
      <c r="K5" s="228" t="s">
        <v>357</v>
      </c>
      <c r="L5" s="223"/>
      <c r="M5" s="226"/>
      <c r="N5" s="223"/>
      <c r="O5" s="47"/>
      <c r="P5" s="47">
        <f>(P$8-P$3)/5+P4</f>
        <v>252</v>
      </c>
      <c r="Q5" s="49">
        <v>1000</v>
      </c>
    </row>
    <row r="6" spans="1:27" x14ac:dyDescent="0.25">
      <c r="A6" s="150" t="s">
        <v>208</v>
      </c>
      <c r="B6" s="150"/>
      <c r="C6" s="150">
        <f>0.15-0.014</f>
        <v>0.13599999999999998</v>
      </c>
      <c r="D6" s="150"/>
      <c r="E6" s="150"/>
      <c r="F6" s="150"/>
      <c r="G6" s="51" t="s">
        <v>209</v>
      </c>
      <c r="H6" s="227">
        <v>64.3</v>
      </c>
      <c r="I6" s="225"/>
      <c r="J6" s="223">
        <f>H6/1000*25</f>
        <v>1.6074999999999999</v>
      </c>
      <c r="K6" s="228" t="s">
        <v>357</v>
      </c>
      <c r="L6" s="223"/>
      <c r="M6" s="226"/>
      <c r="N6" s="223"/>
      <c r="O6" s="47"/>
      <c r="P6" s="47">
        <f>(P$8-P$3)/5+P5</f>
        <v>368</v>
      </c>
      <c r="Q6" s="49">
        <v>3000</v>
      </c>
    </row>
    <row r="7" spans="1:27" x14ac:dyDescent="0.25">
      <c r="A7" s="53" t="s">
        <v>210</v>
      </c>
      <c r="B7" s="150"/>
      <c r="C7" s="150" t="s">
        <v>248</v>
      </c>
      <c r="D7" s="150"/>
      <c r="E7" s="150"/>
      <c r="F7" s="150"/>
      <c r="H7" s="223"/>
      <c r="I7" s="223" t="s">
        <v>212</v>
      </c>
      <c r="J7" s="224">
        <f>J5-J6</f>
        <v>0.22999999999999998</v>
      </c>
      <c r="K7" s="224" t="s">
        <v>18</v>
      </c>
      <c r="L7" s="228" t="s">
        <v>356</v>
      </c>
      <c r="M7" s="226"/>
      <c r="N7" s="223"/>
      <c r="O7" s="47"/>
      <c r="P7" s="47">
        <f>(P$8-P$3)/5+P6</f>
        <v>484</v>
      </c>
      <c r="Q7" s="49">
        <v>4000</v>
      </c>
    </row>
    <row r="8" spans="1:27" ht="15.75" thickBot="1" x14ac:dyDescent="0.3">
      <c r="A8" s="53" t="s">
        <v>213</v>
      </c>
      <c r="B8" s="53"/>
      <c r="C8" s="53" t="s">
        <v>249</v>
      </c>
      <c r="D8" s="53"/>
      <c r="E8" s="53"/>
      <c r="F8" s="53"/>
      <c r="G8" s="123" t="s">
        <v>215</v>
      </c>
      <c r="J8" s="50"/>
      <c r="K8" s="50"/>
      <c r="L8" s="50"/>
      <c r="O8" s="54"/>
      <c r="P8" s="54">
        <v>600</v>
      </c>
      <c r="Q8" s="49">
        <v>5000</v>
      </c>
    </row>
    <row r="9" spans="1:27" x14ac:dyDescent="0.25">
      <c r="A9" s="47" t="s">
        <v>176</v>
      </c>
      <c r="C9" s="285" t="s">
        <v>216</v>
      </c>
      <c r="D9" s="286"/>
      <c r="E9" s="287"/>
      <c r="F9" s="288" t="s">
        <v>217</v>
      </c>
      <c r="G9" s="288"/>
      <c r="H9" s="288"/>
      <c r="I9" s="55"/>
      <c r="J9" s="56" t="s">
        <v>218</v>
      </c>
      <c r="K9" s="57" t="s">
        <v>219</v>
      </c>
      <c r="L9" s="289"/>
      <c r="M9" s="291"/>
      <c r="N9" s="291"/>
      <c r="O9" s="130"/>
      <c r="P9" s="131"/>
      <c r="Z9" s="123">
        <v>10</v>
      </c>
      <c r="AA9" s="123">
        <f>Z9/400*600</f>
        <v>15</v>
      </c>
    </row>
    <row r="10" spans="1:27" ht="15.75" thickBot="1" x14ac:dyDescent="0.3">
      <c r="A10" s="150" t="s">
        <v>220</v>
      </c>
      <c r="B10" s="150" t="s">
        <v>17</v>
      </c>
      <c r="C10" s="53" t="s">
        <v>202</v>
      </c>
      <c r="D10" s="50" t="s">
        <v>221</v>
      </c>
      <c r="E10" s="61" t="s">
        <v>18</v>
      </c>
      <c r="F10" s="62" t="s">
        <v>222</v>
      </c>
      <c r="G10" s="53" t="s">
        <v>223</v>
      </c>
      <c r="H10" s="53" t="s">
        <v>224</v>
      </c>
      <c r="I10" s="64" t="s">
        <v>225</v>
      </c>
      <c r="J10" s="60" t="s">
        <v>18</v>
      </c>
      <c r="K10" s="63" t="s">
        <v>226</v>
      </c>
      <c r="L10" s="63"/>
      <c r="M10" s="65" t="s">
        <v>227</v>
      </c>
      <c r="N10" s="66"/>
      <c r="O10" s="132"/>
      <c r="P10" s="68"/>
      <c r="Q10" s="69"/>
      <c r="R10" s="70"/>
      <c r="S10" s="70"/>
      <c r="Z10" s="123">
        <v>50</v>
      </c>
      <c r="AA10" s="123">
        <f>Z10/400*600</f>
        <v>75</v>
      </c>
    </row>
    <row r="11" spans="1:27" x14ac:dyDescent="0.25">
      <c r="A11" s="74">
        <f t="shared" ref="A11:A16" si="0">Q3</f>
        <v>0</v>
      </c>
      <c r="B11" s="150">
        <f t="shared" ref="B11:B16" si="1">P$3</f>
        <v>20</v>
      </c>
      <c r="C11" s="128">
        <v>144</v>
      </c>
      <c r="D11" s="139">
        <v>3</v>
      </c>
      <c r="E11" s="133">
        <f t="shared" ref="E11:E16" si="2">60/D11*C11/1000</f>
        <v>2.88</v>
      </c>
      <c r="F11" s="134">
        <f t="shared" ref="F11:F16" si="3">E11-$J$7</f>
        <v>2.65</v>
      </c>
      <c r="G11" s="24">
        <v>180</v>
      </c>
      <c r="H11" s="24">
        <v>16.5</v>
      </c>
      <c r="I11" s="135">
        <f t="shared" ref="I11:I16" si="4">60*H11/G11</f>
        <v>5.5</v>
      </c>
      <c r="J11" s="101">
        <f t="shared" ref="J11:J16" si="5">I11/100*A11/100*0.8</f>
        <v>0</v>
      </c>
      <c r="K11" s="136">
        <f t="shared" ref="K11:K16" si="6">J11/E11</f>
        <v>0</v>
      </c>
      <c r="L11" s="126"/>
      <c r="M11" s="137"/>
      <c r="N11" s="138"/>
      <c r="O11" s="128"/>
      <c r="P11" s="128"/>
      <c r="Q11" s="69"/>
      <c r="R11" s="70"/>
      <c r="S11" s="70"/>
    </row>
    <row r="12" spans="1:27" x14ac:dyDescent="0.25">
      <c r="A12" s="74">
        <f t="shared" si="0"/>
        <v>500</v>
      </c>
      <c r="B12" s="150">
        <f t="shared" si="1"/>
        <v>20</v>
      </c>
      <c r="C12" s="128">
        <v>156</v>
      </c>
      <c r="D12" s="139">
        <v>3</v>
      </c>
      <c r="E12" s="133">
        <f t="shared" si="2"/>
        <v>3.12</v>
      </c>
      <c r="F12" s="134">
        <f t="shared" si="3"/>
        <v>2.89</v>
      </c>
      <c r="G12" s="24">
        <v>180</v>
      </c>
      <c r="H12" s="24">
        <v>16.5</v>
      </c>
      <c r="I12" s="135">
        <f t="shared" si="4"/>
        <v>5.5</v>
      </c>
      <c r="J12" s="101">
        <f t="shared" si="5"/>
        <v>0.22000000000000003</v>
      </c>
      <c r="K12" s="136">
        <f t="shared" si="6"/>
        <v>7.0512820512820526E-2</v>
      </c>
      <c r="L12" s="126"/>
      <c r="M12" s="137">
        <f>I12/$I$12</f>
        <v>1</v>
      </c>
      <c r="N12" s="138"/>
      <c r="O12" s="128"/>
      <c r="P12" s="128"/>
      <c r="Z12" s="123">
        <v>100</v>
      </c>
      <c r="AA12" s="123">
        <f>Z12/400*600</f>
        <v>150</v>
      </c>
    </row>
    <row r="13" spans="1:27" x14ac:dyDescent="0.25">
      <c r="A13" s="74">
        <f t="shared" si="0"/>
        <v>1000</v>
      </c>
      <c r="B13" s="150">
        <f t="shared" si="1"/>
        <v>20</v>
      </c>
      <c r="C13" s="128">
        <v>192</v>
      </c>
      <c r="D13" s="139">
        <v>3</v>
      </c>
      <c r="E13" s="133">
        <f t="shared" si="2"/>
        <v>3.84</v>
      </c>
      <c r="F13" s="134">
        <f t="shared" si="3"/>
        <v>3.61</v>
      </c>
      <c r="G13" s="24">
        <v>180</v>
      </c>
      <c r="H13" s="24">
        <v>15</v>
      </c>
      <c r="I13" s="135">
        <f t="shared" si="4"/>
        <v>5</v>
      </c>
      <c r="J13" s="101">
        <f t="shared" si="5"/>
        <v>0.4</v>
      </c>
      <c r="K13" s="136">
        <f t="shared" si="6"/>
        <v>0.10416666666666667</v>
      </c>
      <c r="L13" s="126"/>
      <c r="M13" s="137">
        <f>I13/$I$12</f>
        <v>0.90909090909090906</v>
      </c>
      <c r="N13" s="138"/>
      <c r="O13" s="128"/>
      <c r="P13" s="128"/>
      <c r="Z13" s="123">
        <v>200</v>
      </c>
      <c r="AA13" s="123">
        <f>Z13/400*600</f>
        <v>300</v>
      </c>
    </row>
    <row r="14" spans="1:27" x14ac:dyDescent="0.25">
      <c r="A14" s="74">
        <f t="shared" si="0"/>
        <v>3000</v>
      </c>
      <c r="B14" s="150">
        <f t="shared" si="1"/>
        <v>20</v>
      </c>
      <c r="C14" s="128">
        <v>324</v>
      </c>
      <c r="D14" s="139">
        <v>3</v>
      </c>
      <c r="E14" s="133">
        <f t="shared" si="2"/>
        <v>6.48</v>
      </c>
      <c r="F14" s="134">
        <f t="shared" si="3"/>
        <v>6.25</v>
      </c>
      <c r="G14" s="24">
        <v>180</v>
      </c>
      <c r="H14" s="24">
        <v>13.5</v>
      </c>
      <c r="I14" s="135">
        <f t="shared" si="4"/>
        <v>4.5</v>
      </c>
      <c r="J14" s="101">
        <f t="shared" si="5"/>
        <v>1.08</v>
      </c>
      <c r="K14" s="136">
        <f t="shared" si="6"/>
        <v>0.16666666666666666</v>
      </c>
      <c r="L14" s="126"/>
      <c r="M14" s="137">
        <f>I14/$I$12</f>
        <v>0.81818181818181823</v>
      </c>
      <c r="N14" s="138"/>
      <c r="O14" s="128"/>
      <c r="P14" s="128"/>
      <c r="Z14" s="123">
        <v>300</v>
      </c>
      <c r="AA14" s="123">
        <f>Z14/400*600</f>
        <v>450</v>
      </c>
    </row>
    <row r="15" spans="1:27" x14ac:dyDescent="0.25">
      <c r="A15" s="74">
        <f t="shared" si="0"/>
        <v>4000</v>
      </c>
      <c r="B15" s="150">
        <f t="shared" si="1"/>
        <v>20</v>
      </c>
      <c r="C15" s="128">
        <v>537</v>
      </c>
      <c r="D15" s="139">
        <v>3</v>
      </c>
      <c r="E15" s="133">
        <f t="shared" si="2"/>
        <v>10.74</v>
      </c>
      <c r="F15" s="134">
        <f t="shared" si="3"/>
        <v>10.51</v>
      </c>
      <c r="G15" s="24">
        <v>180</v>
      </c>
      <c r="H15" s="24">
        <v>13.5</v>
      </c>
      <c r="I15" s="135">
        <f t="shared" si="4"/>
        <v>4.5</v>
      </c>
      <c r="J15" s="101">
        <f t="shared" si="5"/>
        <v>1.4400000000000002</v>
      </c>
      <c r="K15" s="136">
        <f t="shared" si="6"/>
        <v>0.13407821229050282</v>
      </c>
      <c r="L15" s="126"/>
      <c r="M15" s="137">
        <f>I15/$I$12</f>
        <v>0.81818181818181823</v>
      </c>
      <c r="N15" s="138"/>
      <c r="O15" s="128"/>
      <c r="P15" s="128"/>
      <c r="Z15" s="123">
        <v>400</v>
      </c>
      <c r="AA15" s="123">
        <f>Z15/400*600</f>
        <v>600</v>
      </c>
    </row>
    <row r="16" spans="1:27" x14ac:dyDescent="0.25">
      <c r="A16" s="74">
        <f t="shared" si="0"/>
        <v>5000</v>
      </c>
      <c r="B16" s="150">
        <f t="shared" si="1"/>
        <v>20</v>
      </c>
      <c r="C16" s="128">
        <v>733</v>
      </c>
      <c r="D16" s="139">
        <v>3</v>
      </c>
      <c r="E16" s="133">
        <f t="shared" si="2"/>
        <v>14.66</v>
      </c>
      <c r="F16" s="134">
        <f t="shared" si="3"/>
        <v>14.43</v>
      </c>
      <c r="G16" s="24">
        <v>180</v>
      </c>
      <c r="H16" s="24">
        <v>12</v>
      </c>
      <c r="I16" s="135">
        <f t="shared" si="4"/>
        <v>4</v>
      </c>
      <c r="J16" s="101">
        <f t="shared" si="5"/>
        <v>1.6</v>
      </c>
      <c r="K16" s="136">
        <f t="shared" si="6"/>
        <v>0.10914051841746249</v>
      </c>
      <c r="L16" s="126"/>
      <c r="M16" s="137">
        <f>I16/$I$12</f>
        <v>0.72727272727272729</v>
      </c>
      <c r="N16" s="138"/>
      <c r="O16" s="128"/>
      <c r="P16" s="128"/>
    </row>
    <row r="17" spans="1:27" x14ac:dyDescent="0.25">
      <c r="A17" s="74"/>
      <c r="B17" s="74"/>
      <c r="C17" s="128"/>
      <c r="D17" s="128"/>
      <c r="E17" s="133"/>
      <c r="F17" s="134"/>
      <c r="G17" s="24"/>
      <c r="H17" s="24"/>
      <c r="I17" s="135"/>
      <c r="J17" s="101"/>
      <c r="K17" s="126"/>
      <c r="L17" s="126"/>
      <c r="M17" s="137"/>
      <c r="N17" s="138"/>
      <c r="O17" s="128"/>
      <c r="P17" s="128"/>
    </row>
    <row r="18" spans="1:27" x14ac:dyDescent="0.25">
      <c r="A18" s="74">
        <f t="shared" ref="A18:A23" si="7">Q3</f>
        <v>0</v>
      </c>
      <c r="B18" s="74">
        <f t="shared" ref="B18:B23" si="8">P$4</f>
        <v>136</v>
      </c>
      <c r="C18" s="128">
        <v>200</v>
      </c>
      <c r="D18" s="139">
        <v>1</v>
      </c>
      <c r="E18" s="133">
        <f t="shared" ref="E18:E23" si="9">60/D18*C18/1000</f>
        <v>12</v>
      </c>
      <c r="F18" s="134">
        <f t="shared" ref="F18:F23" si="10">E18-$J$7</f>
        <v>11.77</v>
      </c>
      <c r="G18" s="24">
        <v>60</v>
      </c>
      <c r="H18" s="24">
        <v>34</v>
      </c>
      <c r="I18" s="135">
        <f t="shared" ref="I18:I23" si="11">60*H18/G18</f>
        <v>34</v>
      </c>
      <c r="J18" s="101">
        <f t="shared" ref="J18:J23" si="12">I18/100*A18/100*0.8</f>
        <v>0</v>
      </c>
      <c r="K18" s="136">
        <f t="shared" ref="K18:K23" si="13">J18/E18</f>
        <v>0</v>
      </c>
      <c r="L18" s="126"/>
      <c r="M18" s="137"/>
      <c r="N18" s="138"/>
      <c r="O18" s="128"/>
      <c r="P18" s="128"/>
      <c r="Q18" s="69"/>
      <c r="R18" s="70"/>
      <c r="S18" s="70"/>
    </row>
    <row r="19" spans="1:27" x14ac:dyDescent="0.25">
      <c r="A19" s="74">
        <f t="shared" si="7"/>
        <v>500</v>
      </c>
      <c r="B19" s="74">
        <f t="shared" si="8"/>
        <v>136</v>
      </c>
      <c r="C19" s="128">
        <v>212</v>
      </c>
      <c r="D19" s="139">
        <v>1</v>
      </c>
      <c r="E19" s="133">
        <f t="shared" si="9"/>
        <v>12.72</v>
      </c>
      <c r="F19" s="134">
        <f t="shared" si="10"/>
        <v>12.49</v>
      </c>
      <c r="G19" s="24">
        <v>60</v>
      </c>
      <c r="H19" s="24">
        <v>32</v>
      </c>
      <c r="I19" s="135">
        <f t="shared" si="11"/>
        <v>32</v>
      </c>
      <c r="J19" s="101">
        <f t="shared" si="12"/>
        <v>1.2800000000000002</v>
      </c>
      <c r="K19" s="136">
        <f t="shared" si="13"/>
        <v>0.10062893081761008</v>
      </c>
      <c r="L19" s="126"/>
      <c r="M19" s="137">
        <f t="shared" ref="M19:M23" si="14">I19/$I$19</f>
        <v>1</v>
      </c>
      <c r="N19" s="138"/>
      <c r="O19" s="128"/>
      <c r="P19" s="128"/>
      <c r="Z19" s="123">
        <v>100</v>
      </c>
      <c r="AA19" s="123">
        <f>Z19/400*600</f>
        <v>150</v>
      </c>
    </row>
    <row r="20" spans="1:27" x14ac:dyDescent="0.25">
      <c r="A20" s="74">
        <f t="shared" si="7"/>
        <v>1000</v>
      </c>
      <c r="B20" s="74">
        <f t="shared" si="8"/>
        <v>136</v>
      </c>
      <c r="C20" s="128">
        <v>287</v>
      </c>
      <c r="D20" s="139">
        <v>1</v>
      </c>
      <c r="E20" s="133">
        <f t="shared" si="9"/>
        <v>17.22</v>
      </c>
      <c r="F20" s="134">
        <f t="shared" si="10"/>
        <v>16.989999999999998</v>
      </c>
      <c r="G20" s="24">
        <v>60</v>
      </c>
      <c r="H20" s="24">
        <v>31</v>
      </c>
      <c r="I20" s="135">
        <f t="shared" si="11"/>
        <v>31</v>
      </c>
      <c r="J20" s="101">
        <f t="shared" si="12"/>
        <v>2.4800000000000004</v>
      </c>
      <c r="K20" s="136">
        <f t="shared" si="13"/>
        <v>0.14401858304297332</v>
      </c>
      <c r="L20" s="126"/>
      <c r="M20" s="137">
        <f t="shared" si="14"/>
        <v>0.96875</v>
      </c>
      <c r="N20" s="138"/>
      <c r="O20" s="128"/>
      <c r="P20" s="128"/>
      <c r="Z20" s="123">
        <v>200</v>
      </c>
      <c r="AA20" s="123">
        <f>Z20/400*600</f>
        <v>300</v>
      </c>
    </row>
    <row r="21" spans="1:27" x14ac:dyDescent="0.25">
      <c r="A21" s="74">
        <f t="shared" si="7"/>
        <v>3000</v>
      </c>
      <c r="B21" s="74">
        <f t="shared" si="8"/>
        <v>136</v>
      </c>
      <c r="C21" s="128">
        <v>361</v>
      </c>
      <c r="D21" s="139">
        <v>1</v>
      </c>
      <c r="E21" s="133">
        <f t="shared" si="9"/>
        <v>21.66</v>
      </c>
      <c r="F21" s="134">
        <f t="shared" si="10"/>
        <v>21.43</v>
      </c>
      <c r="G21" s="24">
        <v>60</v>
      </c>
      <c r="H21" s="24">
        <v>29</v>
      </c>
      <c r="I21" s="135">
        <f t="shared" si="11"/>
        <v>29</v>
      </c>
      <c r="J21" s="101">
        <f t="shared" si="12"/>
        <v>6.96</v>
      </c>
      <c r="K21" s="136">
        <f t="shared" si="13"/>
        <v>0.32132963988919666</v>
      </c>
      <c r="L21" s="126"/>
      <c r="M21" s="137">
        <f t="shared" si="14"/>
        <v>0.90625</v>
      </c>
      <c r="N21" s="138"/>
      <c r="O21" s="128"/>
      <c r="P21" s="128"/>
      <c r="Z21" s="123">
        <v>300</v>
      </c>
      <c r="AA21" s="123">
        <f>Z21/400*600</f>
        <v>450</v>
      </c>
    </row>
    <row r="22" spans="1:27" x14ac:dyDescent="0.25">
      <c r="A22" s="74">
        <f t="shared" si="7"/>
        <v>4000</v>
      </c>
      <c r="B22" s="74">
        <f t="shared" si="8"/>
        <v>136</v>
      </c>
      <c r="C22" s="128">
        <v>432</v>
      </c>
      <c r="D22" s="139">
        <v>1</v>
      </c>
      <c r="E22" s="133">
        <f t="shared" si="9"/>
        <v>25.92</v>
      </c>
      <c r="F22" s="134">
        <f t="shared" si="10"/>
        <v>25.69</v>
      </c>
      <c r="G22" s="24">
        <v>60</v>
      </c>
      <c r="H22" s="24">
        <v>28</v>
      </c>
      <c r="I22" s="135">
        <f t="shared" si="11"/>
        <v>28</v>
      </c>
      <c r="J22" s="101">
        <f t="shared" si="12"/>
        <v>8.9599999999999991</v>
      </c>
      <c r="K22" s="136">
        <f t="shared" si="13"/>
        <v>0.34567901234567894</v>
      </c>
      <c r="L22" s="126"/>
      <c r="M22" s="137">
        <f t="shared" si="14"/>
        <v>0.875</v>
      </c>
      <c r="N22" s="138"/>
      <c r="O22" s="128"/>
      <c r="P22" s="128"/>
      <c r="Z22" s="123">
        <v>400</v>
      </c>
      <c r="AA22" s="123">
        <f>Z22/400*600</f>
        <v>600</v>
      </c>
    </row>
    <row r="23" spans="1:27" x14ac:dyDescent="0.25">
      <c r="A23" s="74">
        <f t="shared" si="7"/>
        <v>5000</v>
      </c>
      <c r="B23" s="74">
        <f t="shared" si="8"/>
        <v>136</v>
      </c>
      <c r="C23" s="128">
        <v>521</v>
      </c>
      <c r="D23" s="139">
        <v>1</v>
      </c>
      <c r="E23" s="133">
        <f t="shared" si="9"/>
        <v>31.26</v>
      </c>
      <c r="F23" s="134">
        <f t="shared" si="10"/>
        <v>31.03</v>
      </c>
      <c r="G23" s="24">
        <v>60</v>
      </c>
      <c r="H23" s="24">
        <v>27</v>
      </c>
      <c r="I23" s="135">
        <f t="shared" si="11"/>
        <v>27</v>
      </c>
      <c r="J23" s="101">
        <f t="shared" si="12"/>
        <v>10.8</v>
      </c>
      <c r="K23" s="136">
        <f t="shared" si="13"/>
        <v>0.34548944337811899</v>
      </c>
      <c r="L23" s="126"/>
      <c r="M23" s="137">
        <f t="shared" si="14"/>
        <v>0.84375</v>
      </c>
      <c r="N23" s="138"/>
      <c r="O23" s="128"/>
      <c r="P23" s="128"/>
    </row>
    <row r="24" spans="1:27" x14ac:dyDescent="0.25">
      <c r="A24" s="150"/>
      <c r="B24" s="150"/>
      <c r="C24" s="128"/>
      <c r="D24" s="128"/>
      <c r="E24" s="133"/>
      <c r="F24" s="134"/>
      <c r="G24" s="24"/>
      <c r="H24" s="24"/>
      <c r="I24" s="135"/>
      <c r="J24" s="101"/>
      <c r="K24" s="126"/>
      <c r="L24" s="126"/>
      <c r="M24" s="137"/>
      <c r="N24" s="138"/>
      <c r="O24" s="128"/>
      <c r="P24" s="128"/>
    </row>
    <row r="25" spans="1:27" x14ac:dyDescent="0.25">
      <c r="A25" s="150">
        <f t="shared" ref="A25:A30" si="15">Q3</f>
        <v>0</v>
      </c>
      <c r="B25" s="150">
        <f t="shared" ref="B25:B30" si="16">P$5</f>
        <v>252</v>
      </c>
      <c r="C25" s="128">
        <v>275</v>
      </c>
      <c r="D25" s="139">
        <v>1</v>
      </c>
      <c r="E25" s="133">
        <f>60/D25*C25/1000</f>
        <v>16.5</v>
      </c>
      <c r="F25" s="134">
        <f t="shared" ref="F25:F30" si="17">E25-$J$7</f>
        <v>16.27</v>
      </c>
      <c r="G25" s="24">
        <v>60</v>
      </c>
      <c r="H25" s="24">
        <v>57</v>
      </c>
      <c r="I25" s="135">
        <f t="shared" ref="I25:I30" si="18">60*H25/G25</f>
        <v>57</v>
      </c>
      <c r="J25" s="101">
        <f t="shared" ref="J25:J30" si="19">I25/100*A25/100*0.8</f>
        <v>0</v>
      </c>
      <c r="K25" s="136">
        <f t="shared" ref="K25:K30" si="20">J25/E25</f>
        <v>0</v>
      </c>
      <c r="L25" s="126"/>
      <c r="M25" s="137"/>
      <c r="N25" s="138"/>
      <c r="O25" s="128"/>
      <c r="P25" s="128"/>
      <c r="Q25" s="69"/>
      <c r="R25" s="70"/>
      <c r="S25" s="70"/>
    </row>
    <row r="26" spans="1:27" x14ac:dyDescent="0.25">
      <c r="A26" s="150">
        <f t="shared" si="15"/>
        <v>500</v>
      </c>
      <c r="B26" s="150">
        <f t="shared" si="16"/>
        <v>252</v>
      </c>
      <c r="C26" s="128">
        <v>313</v>
      </c>
      <c r="D26" s="139">
        <v>1</v>
      </c>
      <c r="E26" s="133">
        <f>60/D26*C26/1000</f>
        <v>18.78</v>
      </c>
      <c r="F26" s="134">
        <f t="shared" si="17"/>
        <v>18.55</v>
      </c>
      <c r="G26" s="24">
        <v>60</v>
      </c>
      <c r="H26" s="24">
        <v>55</v>
      </c>
      <c r="I26" s="135">
        <f t="shared" si="18"/>
        <v>55</v>
      </c>
      <c r="J26" s="101">
        <f t="shared" si="19"/>
        <v>2.2000000000000002</v>
      </c>
      <c r="K26" s="136">
        <f t="shared" si="20"/>
        <v>0.11714589989350373</v>
      </c>
      <c r="L26" s="126"/>
      <c r="M26" s="137">
        <f>I26/$I$26</f>
        <v>1</v>
      </c>
      <c r="N26" s="138"/>
      <c r="O26" s="128"/>
      <c r="P26" s="128"/>
      <c r="Z26" s="123">
        <v>100</v>
      </c>
      <c r="AA26" s="123">
        <f>Z26/400*600</f>
        <v>150</v>
      </c>
    </row>
    <row r="27" spans="1:27" x14ac:dyDescent="0.25">
      <c r="A27" s="150">
        <f t="shared" si="15"/>
        <v>1000</v>
      </c>
      <c r="B27" s="150">
        <f t="shared" si="16"/>
        <v>252</v>
      </c>
      <c r="C27" s="128">
        <v>361</v>
      </c>
      <c r="D27" s="139">
        <v>1</v>
      </c>
      <c r="E27" s="133">
        <f>60/D27*C27/1000</f>
        <v>21.66</v>
      </c>
      <c r="F27" s="134">
        <f t="shared" si="17"/>
        <v>21.43</v>
      </c>
      <c r="G27" s="24">
        <v>60</v>
      </c>
      <c r="H27" s="24">
        <v>55</v>
      </c>
      <c r="I27" s="135">
        <f t="shared" si="18"/>
        <v>55</v>
      </c>
      <c r="J27" s="101">
        <f t="shared" si="19"/>
        <v>4.4000000000000004</v>
      </c>
      <c r="K27" s="136">
        <f t="shared" si="20"/>
        <v>0.20313942751615882</v>
      </c>
      <c r="L27" s="126"/>
      <c r="M27" s="137">
        <f>I27/$I$26</f>
        <v>1</v>
      </c>
      <c r="N27" s="138"/>
      <c r="O27" s="128"/>
      <c r="P27" s="128"/>
      <c r="Z27" s="123">
        <v>200</v>
      </c>
      <c r="AA27" s="123">
        <f>Z27/400*600</f>
        <v>300</v>
      </c>
    </row>
    <row r="28" spans="1:27" x14ac:dyDescent="0.25">
      <c r="A28" s="150">
        <f t="shared" si="15"/>
        <v>3000</v>
      </c>
      <c r="B28" s="150">
        <f t="shared" si="16"/>
        <v>252</v>
      </c>
      <c r="C28" s="128">
        <v>549</v>
      </c>
      <c r="D28" s="139">
        <v>1</v>
      </c>
      <c r="E28" s="133">
        <f t="shared" ref="E28:E30" si="21">60/D28*C28/1000</f>
        <v>32.94</v>
      </c>
      <c r="F28" s="134">
        <f t="shared" si="17"/>
        <v>32.71</v>
      </c>
      <c r="G28" s="24">
        <v>60</v>
      </c>
      <c r="H28" s="24">
        <v>53</v>
      </c>
      <c r="I28" s="135">
        <f t="shared" si="18"/>
        <v>53</v>
      </c>
      <c r="J28" s="101">
        <f t="shared" si="19"/>
        <v>12.72</v>
      </c>
      <c r="K28" s="136">
        <f t="shared" si="20"/>
        <v>0.38615664845173048</v>
      </c>
      <c r="L28" s="126"/>
      <c r="M28" s="137">
        <f>I28/$I$26</f>
        <v>0.96363636363636362</v>
      </c>
      <c r="N28" s="138"/>
      <c r="O28" s="128"/>
      <c r="P28" s="128"/>
      <c r="Z28" s="123">
        <v>300</v>
      </c>
      <c r="AA28" s="123">
        <f>Z28/400*600</f>
        <v>450</v>
      </c>
    </row>
    <row r="29" spans="1:27" x14ac:dyDescent="0.25">
      <c r="A29" s="150">
        <f t="shared" si="15"/>
        <v>4000</v>
      </c>
      <c r="B29" s="150">
        <f t="shared" si="16"/>
        <v>252</v>
      </c>
      <c r="C29" s="128">
        <v>660</v>
      </c>
      <c r="D29" s="139">
        <v>1</v>
      </c>
      <c r="E29" s="133">
        <f t="shared" si="21"/>
        <v>39.6</v>
      </c>
      <c r="F29" s="134">
        <f t="shared" si="17"/>
        <v>39.370000000000005</v>
      </c>
      <c r="G29" s="24">
        <v>60</v>
      </c>
      <c r="H29" s="24">
        <v>52</v>
      </c>
      <c r="I29" s="135">
        <f t="shared" si="18"/>
        <v>52</v>
      </c>
      <c r="J29" s="101">
        <f t="shared" si="19"/>
        <v>16.64</v>
      </c>
      <c r="K29" s="136">
        <f t="shared" si="20"/>
        <v>0.42020202020202019</v>
      </c>
      <c r="L29" s="126"/>
      <c r="M29" s="137">
        <f>I29/$I$26</f>
        <v>0.94545454545454544</v>
      </c>
      <c r="N29" s="138"/>
      <c r="O29" s="128"/>
      <c r="P29" s="128"/>
      <c r="Z29" s="123">
        <v>400</v>
      </c>
      <c r="AA29" s="123">
        <f>Z29/400*600</f>
        <v>600</v>
      </c>
    </row>
    <row r="30" spans="1:27" x14ac:dyDescent="0.25">
      <c r="A30" s="150">
        <f t="shared" si="15"/>
        <v>5000</v>
      </c>
      <c r="B30" s="150">
        <f t="shared" si="16"/>
        <v>252</v>
      </c>
      <c r="C30" s="128">
        <v>778</v>
      </c>
      <c r="D30" s="139">
        <v>1</v>
      </c>
      <c r="E30" s="133">
        <f t="shared" si="21"/>
        <v>46.68</v>
      </c>
      <c r="F30" s="134">
        <f t="shared" si="17"/>
        <v>46.45</v>
      </c>
      <c r="G30" s="24">
        <v>60</v>
      </c>
      <c r="H30" s="24">
        <v>50</v>
      </c>
      <c r="I30" s="135">
        <f t="shared" si="18"/>
        <v>50</v>
      </c>
      <c r="J30" s="101">
        <f t="shared" si="19"/>
        <v>20</v>
      </c>
      <c r="K30" s="136">
        <f t="shared" si="20"/>
        <v>0.42844901456726647</v>
      </c>
      <c r="L30" s="126"/>
      <c r="M30" s="137">
        <f>I30/$I$26</f>
        <v>0.90909090909090906</v>
      </c>
      <c r="N30" s="138"/>
      <c r="O30" s="128"/>
      <c r="P30" s="128"/>
    </row>
    <row r="31" spans="1:27" x14ac:dyDescent="0.25">
      <c r="A31" s="74"/>
      <c r="B31" s="150"/>
      <c r="C31" s="128"/>
      <c r="D31" s="128"/>
      <c r="E31" s="133"/>
      <c r="F31" s="134"/>
      <c r="G31" s="24"/>
      <c r="H31" s="24"/>
      <c r="I31" s="135"/>
      <c r="J31" s="101"/>
      <c r="K31" s="126"/>
      <c r="L31" s="126"/>
      <c r="M31" s="137"/>
      <c r="N31" s="138"/>
      <c r="O31" s="128"/>
      <c r="P31" s="128"/>
    </row>
    <row r="32" spans="1:27" x14ac:dyDescent="0.25">
      <c r="A32" s="150">
        <f t="shared" ref="A32:A37" si="22">Q3</f>
        <v>0</v>
      </c>
      <c r="B32" s="150">
        <f t="shared" ref="B32:B37" si="23">P$6</f>
        <v>368</v>
      </c>
      <c r="C32" s="128">
        <v>373</v>
      </c>
      <c r="D32" s="139">
        <v>1</v>
      </c>
      <c r="E32" s="133">
        <f t="shared" ref="E32:E37" si="24">60/D32*C32/1000</f>
        <v>22.38</v>
      </c>
      <c r="F32" s="134">
        <f t="shared" ref="F32:F37" si="25">E32-$J$7</f>
        <v>22.15</v>
      </c>
      <c r="G32" s="24">
        <v>60</v>
      </c>
      <c r="H32" s="24">
        <v>83</v>
      </c>
      <c r="I32" s="135">
        <f t="shared" ref="I32:I37" si="26">60*H32/G32</f>
        <v>83</v>
      </c>
      <c r="J32" s="101">
        <f t="shared" ref="J32:J37" si="27">I32/100*A32/100*0.8</f>
        <v>0</v>
      </c>
      <c r="K32" s="136">
        <f t="shared" ref="K32:K37" si="28">J32/E32</f>
        <v>0</v>
      </c>
      <c r="L32" s="126"/>
      <c r="M32" s="137"/>
      <c r="N32" s="138"/>
      <c r="O32" s="128"/>
      <c r="P32" s="128"/>
      <c r="Q32" s="69"/>
      <c r="R32" s="70"/>
      <c r="S32" s="70"/>
    </row>
    <row r="33" spans="1:27" x14ac:dyDescent="0.25">
      <c r="A33" s="150">
        <f t="shared" si="22"/>
        <v>500</v>
      </c>
      <c r="B33" s="150">
        <f t="shared" si="23"/>
        <v>368</v>
      </c>
      <c r="C33" s="128">
        <v>438</v>
      </c>
      <c r="D33" s="139">
        <v>1</v>
      </c>
      <c r="E33" s="133">
        <f t="shared" si="24"/>
        <v>26.28</v>
      </c>
      <c r="F33" s="134">
        <f t="shared" si="25"/>
        <v>26.05</v>
      </c>
      <c r="G33" s="24">
        <v>60</v>
      </c>
      <c r="H33" s="24">
        <v>81</v>
      </c>
      <c r="I33" s="135">
        <f t="shared" si="26"/>
        <v>81</v>
      </c>
      <c r="J33" s="101">
        <f t="shared" si="27"/>
        <v>3.24</v>
      </c>
      <c r="K33" s="136">
        <f t="shared" si="28"/>
        <v>0.12328767123287672</v>
      </c>
      <c r="L33" s="126"/>
      <c r="M33" s="137">
        <f>I33/$I$33</f>
        <v>1</v>
      </c>
      <c r="N33" s="138"/>
      <c r="O33" s="128"/>
      <c r="P33" s="128"/>
      <c r="Z33" s="123">
        <v>100</v>
      </c>
      <c r="AA33" s="123">
        <f>Z33/400*600</f>
        <v>150</v>
      </c>
    </row>
    <row r="34" spans="1:27" x14ac:dyDescent="0.25">
      <c r="A34" s="150">
        <f t="shared" si="22"/>
        <v>1000</v>
      </c>
      <c r="B34" s="150">
        <f t="shared" si="23"/>
        <v>368</v>
      </c>
      <c r="C34" s="128">
        <v>484</v>
      </c>
      <c r="D34" s="139">
        <v>1</v>
      </c>
      <c r="E34" s="133">
        <f t="shared" si="24"/>
        <v>29.04</v>
      </c>
      <c r="F34" s="134">
        <f t="shared" si="25"/>
        <v>28.81</v>
      </c>
      <c r="G34" s="24">
        <v>60</v>
      </c>
      <c r="H34" s="24">
        <v>80</v>
      </c>
      <c r="I34" s="135">
        <f t="shared" si="26"/>
        <v>80</v>
      </c>
      <c r="J34" s="101">
        <f t="shared" si="27"/>
        <v>6.4</v>
      </c>
      <c r="K34" s="136">
        <f t="shared" si="28"/>
        <v>0.22038567493112948</v>
      </c>
      <c r="L34" s="126"/>
      <c r="M34" s="137">
        <f>I34/$I$33</f>
        <v>0.98765432098765427</v>
      </c>
      <c r="N34" s="138"/>
      <c r="O34" s="128"/>
      <c r="P34" s="128"/>
      <c r="Z34" s="123">
        <v>200</v>
      </c>
      <c r="AA34" s="123">
        <f>Z34/400*600</f>
        <v>300</v>
      </c>
    </row>
    <row r="35" spans="1:27" x14ac:dyDescent="0.25">
      <c r="A35" s="150">
        <f t="shared" si="22"/>
        <v>3000</v>
      </c>
      <c r="B35" s="150">
        <f t="shared" si="23"/>
        <v>368</v>
      </c>
      <c r="C35" s="128">
        <v>751</v>
      </c>
      <c r="D35" s="139">
        <v>1</v>
      </c>
      <c r="E35" s="133">
        <f t="shared" si="24"/>
        <v>45.06</v>
      </c>
      <c r="F35" s="134">
        <f t="shared" si="25"/>
        <v>44.830000000000005</v>
      </c>
      <c r="G35" s="24">
        <v>60</v>
      </c>
      <c r="H35" s="24">
        <v>78</v>
      </c>
      <c r="I35" s="135">
        <f t="shared" si="26"/>
        <v>78</v>
      </c>
      <c r="J35" s="101">
        <f t="shared" si="27"/>
        <v>18.72</v>
      </c>
      <c r="K35" s="136">
        <f t="shared" si="28"/>
        <v>0.4154460719041278</v>
      </c>
      <c r="L35" s="126"/>
      <c r="M35" s="137">
        <f>I35/$I$33</f>
        <v>0.96296296296296291</v>
      </c>
      <c r="N35" s="138"/>
      <c r="O35" s="128"/>
      <c r="P35" s="128"/>
      <c r="Z35" s="123">
        <v>300</v>
      </c>
      <c r="AA35" s="123">
        <f>Z35/400*600</f>
        <v>450</v>
      </c>
    </row>
    <row r="36" spans="1:27" x14ac:dyDescent="0.25">
      <c r="A36" s="150">
        <f t="shared" si="22"/>
        <v>4000</v>
      </c>
      <c r="B36" s="150">
        <f t="shared" si="23"/>
        <v>368</v>
      </c>
      <c r="C36" s="128">
        <v>880</v>
      </c>
      <c r="D36" s="139">
        <v>1</v>
      </c>
      <c r="E36" s="133">
        <f t="shared" si="24"/>
        <v>52.8</v>
      </c>
      <c r="F36" s="134">
        <f t="shared" si="25"/>
        <v>52.57</v>
      </c>
      <c r="G36" s="24">
        <v>60</v>
      </c>
      <c r="H36" s="24">
        <v>75</v>
      </c>
      <c r="I36" s="135">
        <f t="shared" si="26"/>
        <v>75</v>
      </c>
      <c r="J36" s="101">
        <f t="shared" si="27"/>
        <v>24</v>
      </c>
      <c r="K36" s="136">
        <f t="shared" si="28"/>
        <v>0.45454545454545459</v>
      </c>
      <c r="L36" s="126"/>
      <c r="M36" s="137">
        <f>I36/$I$33</f>
        <v>0.92592592592592593</v>
      </c>
      <c r="N36" s="138"/>
      <c r="O36" s="128"/>
      <c r="P36" s="128"/>
      <c r="Z36" s="123">
        <v>400</v>
      </c>
      <c r="AA36" s="123">
        <f>Z36/400*600</f>
        <v>600</v>
      </c>
    </row>
    <row r="37" spans="1:27" x14ac:dyDescent="0.25">
      <c r="A37" s="150">
        <f t="shared" si="22"/>
        <v>5000</v>
      </c>
      <c r="B37" s="150">
        <f t="shared" si="23"/>
        <v>368</v>
      </c>
      <c r="C37" s="128">
        <v>1047</v>
      </c>
      <c r="D37" s="139">
        <v>1</v>
      </c>
      <c r="E37" s="133">
        <f t="shared" si="24"/>
        <v>62.82</v>
      </c>
      <c r="F37" s="134">
        <f t="shared" si="25"/>
        <v>62.59</v>
      </c>
      <c r="G37" s="24">
        <v>60</v>
      </c>
      <c r="H37" s="24">
        <v>75</v>
      </c>
      <c r="I37" s="135">
        <f t="shared" si="26"/>
        <v>75</v>
      </c>
      <c r="J37" s="101">
        <f t="shared" si="27"/>
        <v>30</v>
      </c>
      <c r="K37" s="136">
        <f t="shared" si="28"/>
        <v>0.47755491881566381</v>
      </c>
      <c r="L37" s="126"/>
      <c r="M37" s="137">
        <f>I37/$I$33</f>
        <v>0.92592592592592593</v>
      </c>
      <c r="N37" s="138"/>
      <c r="O37" s="128"/>
      <c r="P37" s="128"/>
    </row>
    <row r="38" spans="1:27" x14ac:dyDescent="0.25">
      <c r="A38" s="150"/>
      <c r="B38" s="150"/>
      <c r="C38" s="128"/>
      <c r="D38" s="128"/>
      <c r="E38" s="133"/>
      <c r="F38" s="134"/>
      <c r="G38" s="24"/>
      <c r="H38" s="24"/>
      <c r="I38" s="135"/>
      <c r="J38" s="101"/>
      <c r="K38" s="126"/>
      <c r="L38" s="126"/>
      <c r="M38" s="137"/>
      <c r="N38" s="138"/>
      <c r="O38" s="128"/>
      <c r="P38" s="128"/>
    </row>
    <row r="39" spans="1:27" x14ac:dyDescent="0.25">
      <c r="A39" s="150">
        <f t="shared" ref="A39:A44" si="29">Q3</f>
        <v>0</v>
      </c>
      <c r="B39" s="150">
        <f t="shared" ref="B39:B44" si="30">P$7</f>
        <v>484</v>
      </c>
      <c r="C39" s="128">
        <v>500</v>
      </c>
      <c r="D39" s="139">
        <v>1</v>
      </c>
      <c r="E39" s="133">
        <f t="shared" ref="E39:E44" si="31">60/D39*C39/1000</f>
        <v>30</v>
      </c>
      <c r="F39" s="134">
        <f t="shared" ref="F39:F44" si="32">E39-$J$7</f>
        <v>29.77</v>
      </c>
      <c r="G39" s="24">
        <v>60</v>
      </c>
      <c r="H39" s="24">
        <v>115</v>
      </c>
      <c r="I39" s="135">
        <f t="shared" ref="I39:I44" si="33">60*H39/G39</f>
        <v>115</v>
      </c>
      <c r="J39" s="101">
        <f t="shared" ref="J39:J44" si="34">I39/100*A39/100*0.8</f>
        <v>0</v>
      </c>
      <c r="K39" s="136">
        <f t="shared" ref="K39:K44" si="35">J39/E39</f>
        <v>0</v>
      </c>
      <c r="L39" s="126"/>
      <c r="M39" s="137"/>
      <c r="N39" s="138"/>
      <c r="O39" s="128"/>
      <c r="P39" s="128"/>
      <c r="Q39" s="69"/>
      <c r="R39" s="70"/>
      <c r="S39" s="70"/>
    </row>
    <row r="40" spans="1:27" x14ac:dyDescent="0.25">
      <c r="A40" s="150">
        <f t="shared" si="29"/>
        <v>500</v>
      </c>
      <c r="B40" s="150">
        <f t="shared" si="30"/>
        <v>484</v>
      </c>
      <c r="C40" s="128">
        <v>581</v>
      </c>
      <c r="D40" s="139">
        <v>1</v>
      </c>
      <c r="E40" s="133">
        <f t="shared" si="31"/>
        <v>34.86</v>
      </c>
      <c r="F40" s="134">
        <f t="shared" si="32"/>
        <v>34.630000000000003</v>
      </c>
      <c r="G40" s="24">
        <v>60</v>
      </c>
      <c r="H40" s="24">
        <v>110</v>
      </c>
      <c r="I40" s="135">
        <f t="shared" si="33"/>
        <v>110</v>
      </c>
      <c r="J40" s="101">
        <f t="shared" si="34"/>
        <v>4.4000000000000004</v>
      </c>
      <c r="K40" s="136">
        <f t="shared" si="35"/>
        <v>0.1262191623637407</v>
      </c>
      <c r="L40" s="126"/>
      <c r="M40" s="137">
        <f>I40/$I$40</f>
        <v>1</v>
      </c>
      <c r="N40" s="138"/>
      <c r="O40" s="128"/>
      <c r="P40" s="128"/>
      <c r="Z40" s="123">
        <v>100</v>
      </c>
      <c r="AA40" s="123">
        <f>Z40/400*600</f>
        <v>150</v>
      </c>
    </row>
    <row r="41" spans="1:27" x14ac:dyDescent="0.25">
      <c r="A41" s="150">
        <f t="shared" si="29"/>
        <v>1000</v>
      </c>
      <c r="B41" s="150">
        <f t="shared" si="30"/>
        <v>484</v>
      </c>
      <c r="C41" s="128">
        <v>660</v>
      </c>
      <c r="D41" s="139">
        <v>1</v>
      </c>
      <c r="E41" s="133">
        <f t="shared" si="31"/>
        <v>39.6</v>
      </c>
      <c r="F41" s="134">
        <f t="shared" si="32"/>
        <v>39.370000000000005</v>
      </c>
      <c r="G41" s="24">
        <v>60</v>
      </c>
      <c r="H41" s="24">
        <v>105</v>
      </c>
      <c r="I41" s="135">
        <f t="shared" si="33"/>
        <v>105</v>
      </c>
      <c r="J41" s="101">
        <f t="shared" si="34"/>
        <v>8.4</v>
      </c>
      <c r="K41" s="136">
        <f t="shared" si="35"/>
        <v>0.21212121212121213</v>
      </c>
      <c r="L41" s="126"/>
      <c r="M41" s="137">
        <f>I41/$I$40</f>
        <v>0.95454545454545459</v>
      </c>
      <c r="N41" s="138"/>
      <c r="O41" s="128"/>
      <c r="P41" s="128"/>
      <c r="Z41" s="123">
        <v>200</v>
      </c>
      <c r="AA41" s="123">
        <f>Z41/400*600</f>
        <v>300</v>
      </c>
    </row>
    <row r="42" spans="1:27" x14ac:dyDescent="0.25">
      <c r="A42" s="150">
        <f t="shared" si="29"/>
        <v>3000</v>
      </c>
      <c r="B42" s="150">
        <f t="shared" si="30"/>
        <v>484</v>
      </c>
      <c r="C42" s="128">
        <v>953</v>
      </c>
      <c r="D42" s="139">
        <v>1</v>
      </c>
      <c r="E42" s="133">
        <f t="shared" si="31"/>
        <v>57.18</v>
      </c>
      <c r="F42" s="134">
        <f t="shared" si="32"/>
        <v>56.95</v>
      </c>
      <c r="G42" s="24">
        <v>60</v>
      </c>
      <c r="H42" s="24">
        <v>100</v>
      </c>
      <c r="I42" s="135">
        <f t="shared" si="33"/>
        <v>100</v>
      </c>
      <c r="J42" s="101">
        <f t="shared" si="34"/>
        <v>24</v>
      </c>
      <c r="K42" s="136">
        <f t="shared" si="35"/>
        <v>0.41972717733473242</v>
      </c>
      <c r="L42" s="126"/>
      <c r="M42" s="137">
        <f>I42/$I$40</f>
        <v>0.90909090909090906</v>
      </c>
      <c r="N42" s="138"/>
      <c r="O42" s="128"/>
      <c r="P42" s="128"/>
      <c r="Z42" s="123">
        <v>300</v>
      </c>
      <c r="AA42" s="123">
        <f>Z42/400*600</f>
        <v>450</v>
      </c>
    </row>
    <row r="43" spans="1:27" x14ac:dyDescent="0.25">
      <c r="A43" s="150">
        <f t="shared" si="29"/>
        <v>4000</v>
      </c>
      <c r="B43" s="150">
        <f t="shared" si="30"/>
        <v>484</v>
      </c>
      <c r="C43" s="128">
        <v>1105</v>
      </c>
      <c r="D43" s="139">
        <v>1</v>
      </c>
      <c r="E43" s="133">
        <f t="shared" si="31"/>
        <v>66.3</v>
      </c>
      <c r="F43" s="134">
        <f t="shared" si="32"/>
        <v>66.069999999999993</v>
      </c>
      <c r="G43" s="24">
        <v>60</v>
      </c>
      <c r="H43" s="24">
        <v>100</v>
      </c>
      <c r="I43" s="135">
        <f t="shared" si="33"/>
        <v>100</v>
      </c>
      <c r="J43" s="101">
        <f t="shared" si="34"/>
        <v>32</v>
      </c>
      <c r="K43" s="136">
        <f t="shared" si="35"/>
        <v>0.48265460030165913</v>
      </c>
      <c r="L43" s="126"/>
      <c r="M43" s="137">
        <f>I43/$I$40</f>
        <v>0.90909090909090906</v>
      </c>
      <c r="N43" s="138"/>
      <c r="O43" s="128"/>
      <c r="P43" s="128"/>
      <c r="Z43" s="123">
        <v>400</v>
      </c>
      <c r="AA43" s="123">
        <f>Z43/400*600</f>
        <v>600</v>
      </c>
    </row>
    <row r="44" spans="1:27" x14ac:dyDescent="0.25">
      <c r="A44" s="150">
        <f t="shared" si="29"/>
        <v>5000</v>
      </c>
      <c r="B44" s="150">
        <f t="shared" si="30"/>
        <v>484</v>
      </c>
      <c r="C44" s="128">
        <v>1306</v>
      </c>
      <c r="D44" s="139">
        <v>1</v>
      </c>
      <c r="E44" s="133">
        <f t="shared" si="31"/>
        <v>78.36</v>
      </c>
      <c r="F44" s="134">
        <f t="shared" si="32"/>
        <v>78.13</v>
      </c>
      <c r="G44" s="24">
        <v>60</v>
      </c>
      <c r="H44" s="24">
        <v>95</v>
      </c>
      <c r="I44" s="135">
        <f t="shared" si="33"/>
        <v>95</v>
      </c>
      <c r="J44" s="101">
        <f t="shared" si="34"/>
        <v>38</v>
      </c>
      <c r="K44" s="136">
        <f t="shared" si="35"/>
        <v>0.48494129657988772</v>
      </c>
      <c r="L44" s="126"/>
      <c r="M44" s="137">
        <f>I44/$I$40</f>
        <v>0.86363636363636365</v>
      </c>
      <c r="N44" s="138"/>
      <c r="O44" s="128"/>
      <c r="P44" s="128"/>
    </row>
    <row r="45" spans="1:27" x14ac:dyDescent="0.25">
      <c r="A45" s="74"/>
      <c r="B45" s="150"/>
      <c r="C45" s="128"/>
      <c r="D45" s="139"/>
      <c r="E45" s="133"/>
      <c r="F45" s="134"/>
      <c r="G45" s="24"/>
      <c r="H45" s="24"/>
      <c r="I45" s="135"/>
      <c r="J45" s="101"/>
      <c r="K45" s="126"/>
      <c r="L45" s="126"/>
      <c r="M45" s="137"/>
      <c r="N45" s="138"/>
      <c r="O45" s="128"/>
      <c r="P45" s="128"/>
    </row>
    <row r="46" spans="1:27" x14ac:dyDescent="0.25">
      <c r="A46" s="150">
        <f t="shared" ref="A46:A51" si="36">Q3</f>
        <v>0</v>
      </c>
      <c r="B46" s="150">
        <f t="shared" ref="B46:B51" si="37">P$8</f>
        <v>600</v>
      </c>
      <c r="C46" s="128">
        <v>620</v>
      </c>
      <c r="D46" s="139">
        <v>1</v>
      </c>
      <c r="E46" s="133">
        <f t="shared" ref="E46:E51" si="38">60/D46*C46/1000</f>
        <v>37.200000000000003</v>
      </c>
      <c r="F46" s="134">
        <f t="shared" ref="F46:F51" si="39">E46-$J$7</f>
        <v>36.970000000000006</v>
      </c>
      <c r="G46" s="24">
        <v>60</v>
      </c>
      <c r="H46" s="24">
        <v>135</v>
      </c>
      <c r="I46" s="135">
        <f t="shared" ref="I46:I51" si="40">60*H46/G46</f>
        <v>135</v>
      </c>
      <c r="J46" s="101">
        <f t="shared" ref="J46:J51" si="41">I46/100*A46/100*0.8</f>
        <v>0</v>
      </c>
      <c r="K46" s="136">
        <f t="shared" ref="K46:K51" si="42">J46/E46</f>
        <v>0</v>
      </c>
      <c r="L46" s="126"/>
      <c r="M46" s="137"/>
      <c r="N46" s="138"/>
      <c r="O46" s="128"/>
      <c r="P46" s="128"/>
      <c r="Q46" s="69"/>
      <c r="R46" s="70"/>
      <c r="S46" s="70"/>
    </row>
    <row r="47" spans="1:27" x14ac:dyDescent="0.25">
      <c r="A47" s="150">
        <f t="shared" si="36"/>
        <v>500</v>
      </c>
      <c r="B47" s="150">
        <f t="shared" si="37"/>
        <v>600</v>
      </c>
      <c r="C47" s="128">
        <v>710</v>
      </c>
      <c r="D47" s="139">
        <v>1</v>
      </c>
      <c r="E47" s="133">
        <f t="shared" si="38"/>
        <v>42.6</v>
      </c>
      <c r="F47" s="134">
        <f t="shared" si="39"/>
        <v>42.370000000000005</v>
      </c>
      <c r="G47" s="24">
        <v>60</v>
      </c>
      <c r="H47" s="24">
        <v>130</v>
      </c>
      <c r="I47" s="135">
        <f t="shared" si="40"/>
        <v>130</v>
      </c>
      <c r="J47" s="101">
        <f t="shared" si="41"/>
        <v>5.2</v>
      </c>
      <c r="K47" s="136">
        <f t="shared" si="42"/>
        <v>0.12206572769953052</v>
      </c>
      <c r="L47" s="126"/>
      <c r="M47" s="137">
        <f>I47/$I$47</f>
        <v>1</v>
      </c>
      <c r="N47" s="138"/>
      <c r="O47" s="128"/>
      <c r="P47" s="128"/>
      <c r="R47" s="70"/>
      <c r="Z47" s="123">
        <v>100</v>
      </c>
      <c r="AA47" s="123">
        <f>Z47/400*600</f>
        <v>150</v>
      </c>
    </row>
    <row r="48" spans="1:27" x14ac:dyDescent="0.25">
      <c r="A48" s="150">
        <f t="shared" si="36"/>
        <v>1000</v>
      </c>
      <c r="B48" s="150">
        <f t="shared" si="37"/>
        <v>600</v>
      </c>
      <c r="C48" s="128">
        <v>809</v>
      </c>
      <c r="D48" s="139">
        <v>1</v>
      </c>
      <c r="E48" s="133">
        <f t="shared" si="38"/>
        <v>48.54</v>
      </c>
      <c r="F48" s="134">
        <f t="shared" si="39"/>
        <v>48.31</v>
      </c>
      <c r="G48" s="24">
        <v>60</v>
      </c>
      <c r="H48" s="24">
        <v>130</v>
      </c>
      <c r="I48" s="135">
        <f t="shared" si="40"/>
        <v>130</v>
      </c>
      <c r="J48" s="101">
        <f t="shared" si="41"/>
        <v>10.4</v>
      </c>
      <c r="K48" s="136">
        <f t="shared" si="42"/>
        <v>0.2142562834775443</v>
      </c>
      <c r="L48" s="126"/>
      <c r="M48" s="137">
        <f>I48/$I$47</f>
        <v>1</v>
      </c>
      <c r="N48" s="138"/>
      <c r="O48" s="128"/>
      <c r="P48" s="128"/>
      <c r="R48" s="70"/>
      <c r="Z48" s="123">
        <v>200</v>
      </c>
      <c r="AA48" s="123">
        <f>Z48/400*600</f>
        <v>300</v>
      </c>
    </row>
    <row r="49" spans="1:27" x14ac:dyDescent="0.25">
      <c r="A49" s="150">
        <f t="shared" si="36"/>
        <v>3000</v>
      </c>
      <c r="B49" s="150">
        <f t="shared" si="37"/>
        <v>600</v>
      </c>
      <c r="C49" s="128">
        <v>1195</v>
      </c>
      <c r="D49" s="139">
        <v>1</v>
      </c>
      <c r="E49" s="133">
        <f t="shared" si="38"/>
        <v>71.7</v>
      </c>
      <c r="F49" s="134">
        <f t="shared" si="39"/>
        <v>71.47</v>
      </c>
      <c r="G49" s="24">
        <v>60</v>
      </c>
      <c r="H49" s="24">
        <v>125</v>
      </c>
      <c r="I49" s="135">
        <f t="shared" si="40"/>
        <v>125</v>
      </c>
      <c r="J49" s="101">
        <f t="shared" si="41"/>
        <v>30</v>
      </c>
      <c r="K49" s="136">
        <f t="shared" si="42"/>
        <v>0.41841004184100417</v>
      </c>
      <c r="L49" s="126"/>
      <c r="M49" s="137">
        <f>I49/$I$47</f>
        <v>0.96153846153846156</v>
      </c>
      <c r="N49" s="138"/>
      <c r="O49" s="128"/>
      <c r="P49" s="128"/>
      <c r="R49" s="70"/>
      <c r="Z49" s="123">
        <v>300</v>
      </c>
      <c r="AA49" s="123">
        <f>Z49/400*600</f>
        <v>450</v>
      </c>
    </row>
    <row r="50" spans="1:27" x14ac:dyDescent="0.25">
      <c r="A50" s="150">
        <f t="shared" si="36"/>
        <v>4000</v>
      </c>
      <c r="B50" s="150">
        <f t="shared" si="37"/>
        <v>600</v>
      </c>
      <c r="C50" s="128">
        <v>1363</v>
      </c>
      <c r="D50" s="139">
        <v>1</v>
      </c>
      <c r="E50" s="133">
        <f t="shared" si="38"/>
        <v>81.78</v>
      </c>
      <c r="F50" s="134">
        <f t="shared" si="39"/>
        <v>81.55</v>
      </c>
      <c r="G50" s="24">
        <v>60</v>
      </c>
      <c r="H50" s="24">
        <v>125</v>
      </c>
      <c r="I50" s="135">
        <f t="shared" si="40"/>
        <v>125</v>
      </c>
      <c r="J50" s="101">
        <f t="shared" si="41"/>
        <v>40</v>
      </c>
      <c r="K50" s="136">
        <f t="shared" si="42"/>
        <v>0.48911714355588165</v>
      </c>
      <c r="L50" s="126"/>
      <c r="M50" s="137">
        <f>I50/$I$47</f>
        <v>0.96153846153846156</v>
      </c>
      <c r="N50" s="138"/>
      <c r="O50" s="128"/>
      <c r="P50" s="128"/>
      <c r="R50" s="70"/>
      <c r="Z50" s="123">
        <v>400</v>
      </c>
      <c r="AA50" s="123">
        <f>Z50/400*600</f>
        <v>600</v>
      </c>
    </row>
    <row r="51" spans="1:27" x14ac:dyDescent="0.25">
      <c r="A51" s="150">
        <f t="shared" si="36"/>
        <v>5000</v>
      </c>
      <c r="B51" s="150">
        <f t="shared" si="37"/>
        <v>600</v>
      </c>
      <c r="C51" s="128">
        <v>1453</v>
      </c>
      <c r="D51" s="139">
        <v>1</v>
      </c>
      <c r="E51" s="133">
        <f t="shared" si="38"/>
        <v>87.18</v>
      </c>
      <c r="F51" s="134">
        <f t="shared" si="39"/>
        <v>86.95</v>
      </c>
      <c r="G51" s="24">
        <v>60</v>
      </c>
      <c r="H51" s="24">
        <v>110</v>
      </c>
      <c r="I51" s="135">
        <f t="shared" si="40"/>
        <v>110</v>
      </c>
      <c r="J51" s="101">
        <f t="shared" si="41"/>
        <v>44</v>
      </c>
      <c r="K51" s="136">
        <f t="shared" si="42"/>
        <v>0.50470291351227337</v>
      </c>
      <c r="L51" s="126"/>
      <c r="M51" s="137">
        <f>I51/$I$47</f>
        <v>0.84615384615384615</v>
      </c>
      <c r="N51" s="138"/>
      <c r="O51" s="128"/>
      <c r="P51" s="128"/>
      <c r="R51" s="70"/>
    </row>
    <row r="52" spans="1:27" x14ac:dyDescent="0.25">
      <c r="A52" s="128"/>
      <c r="B52" s="150"/>
      <c r="C52" s="126"/>
      <c r="D52" s="126"/>
      <c r="E52" s="126"/>
      <c r="F52" s="140"/>
      <c r="G52" s="126"/>
      <c r="H52" s="128"/>
      <c r="I52" s="141"/>
      <c r="J52" s="71"/>
      <c r="K52" s="126"/>
      <c r="L52" s="126"/>
      <c r="M52" s="137"/>
      <c r="N52" s="138"/>
      <c r="O52" s="128"/>
      <c r="P52" s="128"/>
    </row>
    <row r="53" spans="1:27" x14ac:dyDescent="0.25">
      <c r="A53" s="128"/>
      <c r="B53" s="74"/>
      <c r="C53" s="126"/>
      <c r="D53" s="126"/>
      <c r="E53" s="126"/>
      <c r="F53" s="126"/>
      <c r="G53" s="126"/>
      <c r="H53" s="128"/>
      <c r="I53" s="141"/>
      <c r="J53" s="71"/>
      <c r="K53" s="126"/>
      <c r="L53" s="126"/>
      <c r="M53" s="137"/>
      <c r="N53" s="138"/>
      <c r="O53" s="128"/>
      <c r="P53" s="128"/>
    </row>
    <row r="54" spans="1:27" x14ac:dyDescent="0.25">
      <c r="A54" s="128"/>
      <c r="B54" s="150"/>
      <c r="C54" s="126"/>
      <c r="D54" s="126"/>
      <c r="E54" s="126"/>
      <c r="F54" s="126"/>
      <c r="G54" s="126"/>
      <c r="H54" s="128"/>
      <c r="I54" s="141"/>
      <c r="J54" s="71"/>
      <c r="K54" s="126"/>
      <c r="L54" s="126"/>
      <c r="M54" s="137"/>
      <c r="N54" s="138"/>
      <c r="O54" s="128"/>
      <c r="P54" s="128"/>
    </row>
    <row r="55" spans="1:27" x14ac:dyDescent="0.25">
      <c r="A55" s="47"/>
      <c r="B55" s="150"/>
      <c r="C55" s="126"/>
      <c r="D55" s="126"/>
      <c r="E55" s="126"/>
      <c r="F55" s="126"/>
      <c r="G55" s="126"/>
      <c r="H55" s="128"/>
      <c r="I55" s="141"/>
      <c r="J55" s="71"/>
      <c r="K55" s="126"/>
      <c r="L55" s="126"/>
      <c r="M55" s="137"/>
      <c r="N55" s="138"/>
      <c r="O55" s="128"/>
      <c r="P55" s="128"/>
    </row>
    <row r="56" spans="1:27" x14ac:dyDescent="0.25">
      <c r="A56" s="71"/>
      <c r="B56" s="74"/>
      <c r="C56" s="126"/>
      <c r="D56" s="126"/>
      <c r="E56" s="126"/>
      <c r="F56" s="126"/>
      <c r="G56" s="126"/>
      <c r="H56" s="128"/>
      <c r="I56" s="141"/>
      <c r="J56" s="71"/>
      <c r="K56" s="126"/>
      <c r="L56" s="126"/>
      <c r="M56" s="137"/>
      <c r="N56" s="138"/>
      <c r="O56" s="128"/>
      <c r="P56" s="128"/>
    </row>
    <row r="57" spans="1:27" x14ac:dyDescent="0.25">
      <c r="A57" s="47"/>
      <c r="B57" s="150"/>
      <c r="C57" s="126"/>
      <c r="D57" s="126"/>
      <c r="E57" s="126"/>
      <c r="F57" s="126"/>
      <c r="G57" s="126"/>
      <c r="H57" s="128"/>
      <c r="I57" s="128"/>
      <c r="J57" s="47"/>
      <c r="K57" s="126"/>
      <c r="L57" s="126"/>
      <c r="M57" s="137"/>
      <c r="N57" s="138"/>
      <c r="O57" s="128"/>
      <c r="P57" s="128"/>
    </row>
    <row r="58" spans="1:27" x14ac:dyDescent="0.25">
      <c r="A58" s="47"/>
      <c r="B58" s="150"/>
      <c r="C58" s="126"/>
      <c r="D58" s="126"/>
      <c r="E58" s="126"/>
      <c r="F58" s="126"/>
      <c r="G58" s="136"/>
      <c r="H58" s="128"/>
      <c r="I58" s="128"/>
      <c r="J58" s="47"/>
      <c r="K58" s="126"/>
      <c r="L58" s="126"/>
      <c r="M58" s="137"/>
      <c r="N58" s="138"/>
      <c r="O58" s="128"/>
      <c r="P58" s="128"/>
    </row>
    <row r="59" spans="1:27" x14ac:dyDescent="0.25">
      <c r="A59" s="47"/>
      <c r="B59" s="150"/>
      <c r="C59" s="126"/>
      <c r="D59" s="126"/>
      <c r="E59" s="126"/>
      <c r="F59" s="126"/>
      <c r="G59" s="126"/>
      <c r="H59" s="128"/>
      <c r="I59" s="128"/>
      <c r="J59" s="47"/>
      <c r="K59" s="126"/>
      <c r="L59" s="126"/>
      <c r="M59" s="137"/>
      <c r="N59" s="138"/>
      <c r="O59" s="128"/>
      <c r="P59" s="128"/>
    </row>
    <row r="60" spans="1:27" x14ac:dyDescent="0.25">
      <c r="A60" s="47"/>
      <c r="B60" s="150"/>
      <c r="C60" s="126"/>
      <c r="D60" s="126"/>
      <c r="E60" s="126"/>
      <c r="F60" s="126"/>
      <c r="G60" s="126"/>
      <c r="H60" s="128"/>
      <c r="I60" s="128"/>
      <c r="J60" s="47"/>
      <c r="K60" s="126"/>
      <c r="L60" s="126"/>
      <c r="M60" s="137"/>
      <c r="N60" s="138"/>
      <c r="O60" s="128"/>
      <c r="P60" s="128"/>
    </row>
    <row r="61" spans="1:27" x14ac:dyDescent="0.25">
      <c r="A61" s="47"/>
      <c r="B61" s="150"/>
      <c r="C61" s="126"/>
      <c r="D61" s="126"/>
      <c r="E61" s="126"/>
      <c r="F61" s="126"/>
      <c r="G61" s="126"/>
      <c r="H61" s="128"/>
      <c r="I61" s="128"/>
      <c r="J61" s="47"/>
      <c r="K61" s="126"/>
      <c r="L61" s="126"/>
      <c r="M61" s="137"/>
      <c r="N61" s="138"/>
      <c r="O61" s="128"/>
      <c r="P61" s="128"/>
    </row>
    <row r="63" spans="1:27" x14ac:dyDescent="0.25">
      <c r="L63" s="80" t="s">
        <v>17</v>
      </c>
      <c r="N63" s="123" t="s">
        <v>228</v>
      </c>
    </row>
    <row r="64" spans="1:27" x14ac:dyDescent="0.25">
      <c r="K64" s="79" t="s">
        <v>176</v>
      </c>
      <c r="L64" s="81">
        <f>B11</f>
        <v>20</v>
      </c>
      <c r="M64" s="80">
        <f>B18</f>
        <v>136</v>
      </c>
      <c r="N64" s="80">
        <f>B25</f>
        <v>252</v>
      </c>
      <c r="O64" s="80">
        <f>B32</f>
        <v>368</v>
      </c>
      <c r="P64" s="80">
        <f>B39</f>
        <v>484</v>
      </c>
      <c r="Q64" s="80">
        <f>B46</f>
        <v>600</v>
      </c>
    </row>
    <row r="65" spans="1:18" x14ac:dyDescent="0.25">
      <c r="K65" s="82">
        <f t="shared" ref="K65:K70" si="43">Q3</f>
        <v>0</v>
      </c>
      <c r="L65" s="140">
        <f t="shared" ref="L65:L70" si="44">I11</f>
        <v>5.5</v>
      </c>
      <c r="M65" s="142">
        <f t="shared" ref="M65:M70" si="45">I18</f>
        <v>34</v>
      </c>
      <c r="N65" s="142">
        <f t="shared" ref="N65:N70" si="46">I25</f>
        <v>57</v>
      </c>
      <c r="O65" s="142">
        <f t="shared" ref="O65:O70" si="47">I32</f>
        <v>83</v>
      </c>
      <c r="P65" s="142">
        <f t="shared" ref="P65:P70" si="48">I39</f>
        <v>115</v>
      </c>
      <c r="Q65" s="142">
        <f t="shared" ref="Q65:Q70" si="49">I46</f>
        <v>135</v>
      </c>
    </row>
    <row r="66" spans="1:18" x14ac:dyDescent="0.25">
      <c r="K66" s="82">
        <f t="shared" si="43"/>
        <v>500</v>
      </c>
      <c r="L66" s="140">
        <f t="shared" si="44"/>
        <v>5.5</v>
      </c>
      <c r="M66" s="142">
        <f t="shared" si="45"/>
        <v>32</v>
      </c>
      <c r="N66" s="142">
        <f t="shared" si="46"/>
        <v>55</v>
      </c>
      <c r="O66" s="142">
        <f t="shared" si="47"/>
        <v>81</v>
      </c>
      <c r="P66" s="142">
        <f t="shared" si="48"/>
        <v>110</v>
      </c>
      <c r="Q66" s="142">
        <f t="shared" si="49"/>
        <v>130</v>
      </c>
    </row>
    <row r="67" spans="1:18" x14ac:dyDescent="0.25">
      <c r="K67" s="82">
        <f t="shared" si="43"/>
        <v>1000</v>
      </c>
      <c r="L67" s="140">
        <f t="shared" si="44"/>
        <v>5</v>
      </c>
      <c r="M67" s="142">
        <f t="shared" si="45"/>
        <v>31</v>
      </c>
      <c r="N67" s="142">
        <f t="shared" si="46"/>
        <v>55</v>
      </c>
      <c r="O67" s="142">
        <f t="shared" si="47"/>
        <v>80</v>
      </c>
      <c r="P67" s="142">
        <f t="shared" si="48"/>
        <v>105</v>
      </c>
      <c r="Q67" s="142">
        <f t="shared" si="49"/>
        <v>130</v>
      </c>
    </row>
    <row r="68" spans="1:18" x14ac:dyDescent="0.25">
      <c r="K68" s="82">
        <f t="shared" si="43"/>
        <v>3000</v>
      </c>
      <c r="L68" s="140">
        <f t="shared" si="44"/>
        <v>4.5</v>
      </c>
      <c r="M68" s="142">
        <f t="shared" si="45"/>
        <v>29</v>
      </c>
      <c r="N68" s="142">
        <f t="shared" si="46"/>
        <v>53</v>
      </c>
      <c r="O68" s="142">
        <f t="shared" si="47"/>
        <v>78</v>
      </c>
      <c r="P68" s="142">
        <f t="shared" si="48"/>
        <v>100</v>
      </c>
      <c r="Q68" s="142">
        <f t="shared" si="49"/>
        <v>125</v>
      </c>
    </row>
    <row r="69" spans="1:18" x14ac:dyDescent="0.25">
      <c r="K69" s="82">
        <f t="shared" si="43"/>
        <v>4000</v>
      </c>
      <c r="L69" s="140">
        <f t="shared" si="44"/>
        <v>4.5</v>
      </c>
      <c r="M69" s="142">
        <f t="shared" si="45"/>
        <v>28</v>
      </c>
      <c r="N69" s="142">
        <f t="shared" si="46"/>
        <v>52</v>
      </c>
      <c r="O69" s="142">
        <f t="shared" si="47"/>
        <v>75</v>
      </c>
      <c r="P69" s="142">
        <f t="shared" si="48"/>
        <v>100</v>
      </c>
      <c r="Q69" s="142">
        <f t="shared" si="49"/>
        <v>125</v>
      </c>
    </row>
    <row r="70" spans="1:18" x14ac:dyDescent="0.25">
      <c r="K70" s="82">
        <f t="shared" si="43"/>
        <v>5000</v>
      </c>
      <c r="L70" s="140">
        <f t="shared" si="44"/>
        <v>4</v>
      </c>
      <c r="M70" s="142">
        <f t="shared" si="45"/>
        <v>27</v>
      </c>
      <c r="N70" s="142">
        <f t="shared" si="46"/>
        <v>50</v>
      </c>
      <c r="O70" s="142">
        <f t="shared" si="47"/>
        <v>75</v>
      </c>
      <c r="P70" s="142">
        <f t="shared" si="48"/>
        <v>95</v>
      </c>
      <c r="Q70" s="142">
        <f t="shared" si="49"/>
        <v>110</v>
      </c>
    </row>
    <row r="71" spans="1:18" x14ac:dyDescent="0.25">
      <c r="K71" s="83"/>
    </row>
    <row r="72" spans="1:18" x14ac:dyDescent="0.25">
      <c r="K72" s="123">
        <f>B80</f>
        <v>2040</v>
      </c>
      <c r="L72" s="123">
        <f t="shared" ref="L72:Q72" si="50">_xlfn.FORECAST.LINEAR($B$80,L65:L70,$K$65:$K$70)</f>
        <v>4.8936926147704591</v>
      </c>
      <c r="M72" s="123">
        <f t="shared" si="50"/>
        <v>30.430738522954091</v>
      </c>
      <c r="N72" s="123">
        <f t="shared" si="50"/>
        <v>53.918163672654686</v>
      </c>
      <c r="O72" s="123">
        <f t="shared" si="50"/>
        <v>78.993612774451094</v>
      </c>
      <c r="P72" s="123">
        <f t="shared" si="50"/>
        <v>104.88343313373254</v>
      </c>
      <c r="Q72" s="123">
        <f t="shared" si="50"/>
        <v>126.6255489021956</v>
      </c>
      <c r="R72" s="123" t="s">
        <v>25</v>
      </c>
    </row>
    <row r="73" spans="1:18" x14ac:dyDescent="0.25">
      <c r="J73" s="123" t="s">
        <v>25</v>
      </c>
      <c r="K73" s="143">
        <f>B79</f>
        <v>9.463519999999999</v>
      </c>
      <c r="L73" s="144">
        <f>_xlfn.FORECAST.LINEAR(K73,L64:Q64,L72:Q72)</f>
        <v>39.35167820481513</v>
      </c>
      <c r="M73" s="125" t="s">
        <v>17</v>
      </c>
    </row>
    <row r="77" spans="1:18" x14ac:dyDescent="0.25">
      <c r="A77" s="49" t="s">
        <v>229</v>
      </c>
      <c r="B77" s="145">
        <v>1230</v>
      </c>
      <c r="C77" s="123" t="s">
        <v>25</v>
      </c>
    </row>
    <row r="78" spans="1:18" x14ac:dyDescent="0.25">
      <c r="B78" s="124">
        <v>600</v>
      </c>
      <c r="C78" s="123" t="s">
        <v>17</v>
      </c>
    </row>
    <row r="79" spans="1:18" x14ac:dyDescent="0.25">
      <c r="A79" s="123" t="s">
        <v>230</v>
      </c>
      <c r="B79" s="145">
        <f>Q</f>
        <v>9.463519999999999</v>
      </c>
      <c r="C79" s="123" t="s">
        <v>25</v>
      </c>
    </row>
    <row r="80" spans="1:18" x14ac:dyDescent="0.25">
      <c r="A80" s="123" t="s">
        <v>231</v>
      </c>
      <c r="B80" s="145">
        <f>Pavg</f>
        <v>2040</v>
      </c>
      <c r="C80" s="123">
        <v>5000</v>
      </c>
      <c r="D80" s="123" t="s">
        <v>232</v>
      </c>
    </row>
    <row r="81" spans="1:10" x14ac:dyDescent="0.25">
      <c r="A81" s="123" t="s">
        <v>233</v>
      </c>
      <c r="B81" s="124">
        <v>0</v>
      </c>
      <c r="C81" s="123" t="s">
        <v>234</v>
      </c>
      <c r="E81" s="123" t="s">
        <v>235</v>
      </c>
    </row>
    <row r="82" spans="1:10" x14ac:dyDescent="0.25">
      <c r="A82" s="123" t="s">
        <v>236</v>
      </c>
      <c r="B82" s="124">
        <f>L73</f>
        <v>39.35167820481513</v>
      </c>
    </row>
    <row r="83" spans="1:10" x14ac:dyDescent="0.25">
      <c r="A83" s="123" t="s">
        <v>237</v>
      </c>
      <c r="B83" s="124">
        <f>(1+(B80/C80*B81))*B82</f>
        <v>39.35167820481513</v>
      </c>
    </row>
    <row r="84" spans="1:10" x14ac:dyDescent="0.25">
      <c r="A84" s="123" t="s">
        <v>238</v>
      </c>
    </row>
    <row r="85" spans="1:10" x14ac:dyDescent="0.25">
      <c r="A85" s="79" t="s">
        <v>176</v>
      </c>
      <c r="E85" s="123" t="s">
        <v>239</v>
      </c>
      <c r="H85" s="123" t="s">
        <v>240</v>
      </c>
    </row>
    <row r="86" spans="1:10" x14ac:dyDescent="0.25">
      <c r="A86" s="80" t="s">
        <v>17</v>
      </c>
      <c r="B86" s="124">
        <v>0.1</v>
      </c>
      <c r="C86" s="81">
        <f>B11</f>
        <v>20</v>
      </c>
      <c r="D86" s="80">
        <f>B18</f>
        <v>136</v>
      </c>
      <c r="E86" s="80">
        <f>B25</f>
        <v>252</v>
      </c>
      <c r="F86" s="80">
        <f>B32</f>
        <v>368</v>
      </c>
      <c r="G86" s="80">
        <f>B39</f>
        <v>484</v>
      </c>
      <c r="H86" s="80">
        <f>B46</f>
        <v>600</v>
      </c>
      <c r="I86" s="123">
        <f t="shared" ref="I86:I92" si="51">H86*10</f>
        <v>6000</v>
      </c>
    </row>
    <row r="87" spans="1:10" x14ac:dyDescent="0.25">
      <c r="A87" s="82">
        <f>Q3</f>
        <v>0</v>
      </c>
      <c r="B87" s="124">
        <f t="shared" ref="B87:B92" si="52">$J$7</f>
        <v>0.22999999999999998</v>
      </c>
      <c r="C87" s="126">
        <f>F11</f>
        <v>2.65</v>
      </c>
      <c r="D87" s="128">
        <f>F18</f>
        <v>11.77</v>
      </c>
      <c r="E87" s="128">
        <f t="shared" ref="E87:E92" si="53">F25</f>
        <v>16.27</v>
      </c>
      <c r="F87" s="128">
        <f t="shared" ref="F87:F92" si="54">F32</f>
        <v>22.15</v>
      </c>
      <c r="G87" s="128">
        <f t="shared" ref="G87:G92" si="55">F39</f>
        <v>29.77</v>
      </c>
      <c r="H87" s="128">
        <f t="shared" ref="H87:H92" si="56">F46</f>
        <v>36.970000000000006</v>
      </c>
      <c r="I87" s="123">
        <f t="shared" si="51"/>
        <v>369.70000000000005</v>
      </c>
      <c r="J87" s="123">
        <f t="shared" ref="J87:J92" ca="1" si="57">_xlfn.FORECAST.LINEAR(__RPM1,OFFSET(B87:H87,0,MATCH(__RPM1,$B$86:$H$86,1)-1,1,2),OFFSET($B$86:$H$86,0,MATCH(__RPM1,$B$86:$H$86,1)-1,1,2))</f>
        <v>4.1714422864475331</v>
      </c>
    </row>
    <row r="88" spans="1:10" x14ac:dyDescent="0.25">
      <c r="A88" s="82">
        <f t="shared" ref="A88:A91" si="58">Q4</f>
        <v>500</v>
      </c>
      <c r="B88" s="124">
        <f t="shared" si="52"/>
        <v>0.22999999999999998</v>
      </c>
      <c r="C88" s="126">
        <f>E12</f>
        <v>3.12</v>
      </c>
      <c r="D88" s="128">
        <f>E19</f>
        <v>12.72</v>
      </c>
      <c r="E88" s="128">
        <f t="shared" si="53"/>
        <v>18.55</v>
      </c>
      <c r="F88" s="128">
        <f t="shared" si="54"/>
        <v>26.05</v>
      </c>
      <c r="G88" s="128">
        <f t="shared" si="55"/>
        <v>34.630000000000003</v>
      </c>
      <c r="H88" s="128">
        <f t="shared" si="56"/>
        <v>42.370000000000005</v>
      </c>
      <c r="I88" s="123">
        <f t="shared" si="51"/>
        <v>423.70000000000005</v>
      </c>
      <c r="J88" s="123">
        <f t="shared" ca="1" si="57"/>
        <v>4.721518196260563</v>
      </c>
    </row>
    <row r="89" spans="1:10" x14ac:dyDescent="0.25">
      <c r="A89" s="82">
        <f t="shared" si="58"/>
        <v>1000</v>
      </c>
      <c r="B89" s="124">
        <f t="shared" si="52"/>
        <v>0.22999999999999998</v>
      </c>
      <c r="C89" s="126">
        <f>E13</f>
        <v>3.84</v>
      </c>
      <c r="D89" s="128">
        <f>E20</f>
        <v>17.22</v>
      </c>
      <c r="E89" s="128">
        <f t="shared" si="53"/>
        <v>21.43</v>
      </c>
      <c r="F89" s="128">
        <f t="shared" si="54"/>
        <v>28.81</v>
      </c>
      <c r="G89" s="128">
        <f t="shared" si="55"/>
        <v>39.370000000000005</v>
      </c>
      <c r="H89" s="128">
        <f t="shared" si="56"/>
        <v>48.31</v>
      </c>
      <c r="I89" s="123">
        <f t="shared" si="51"/>
        <v>483.1</v>
      </c>
      <c r="J89" s="123">
        <f t="shared" ca="1" si="57"/>
        <v>6.0721159860381579</v>
      </c>
    </row>
    <row r="90" spans="1:10" x14ac:dyDescent="0.25">
      <c r="A90" s="82">
        <f t="shared" si="58"/>
        <v>3000</v>
      </c>
      <c r="B90" s="124">
        <f t="shared" si="52"/>
        <v>0.22999999999999998</v>
      </c>
      <c r="C90" s="126">
        <f>E14</f>
        <v>6.48</v>
      </c>
      <c r="D90" s="128">
        <f>E21</f>
        <v>21.66</v>
      </c>
      <c r="E90" s="128">
        <f t="shared" si="53"/>
        <v>32.71</v>
      </c>
      <c r="F90" s="128">
        <f t="shared" si="54"/>
        <v>44.830000000000005</v>
      </c>
      <c r="G90" s="128">
        <f t="shared" si="55"/>
        <v>56.95</v>
      </c>
      <c r="H90" s="128">
        <f t="shared" si="56"/>
        <v>71.47</v>
      </c>
      <c r="I90" s="123">
        <f t="shared" si="51"/>
        <v>714.7</v>
      </c>
      <c r="J90" s="123">
        <f t="shared" ca="1" si="57"/>
        <v>9.0124006478370156</v>
      </c>
    </row>
    <row r="91" spans="1:10" x14ac:dyDescent="0.25">
      <c r="A91" s="82">
        <f t="shared" si="58"/>
        <v>4000</v>
      </c>
      <c r="B91" s="124">
        <f t="shared" si="52"/>
        <v>0.22999999999999998</v>
      </c>
      <c r="C91" s="126">
        <f>E15</f>
        <v>10.74</v>
      </c>
      <c r="D91" s="128">
        <f>E22</f>
        <v>25.92</v>
      </c>
      <c r="E91" s="128">
        <f t="shared" si="53"/>
        <v>39.370000000000005</v>
      </c>
      <c r="F91" s="128">
        <f t="shared" si="54"/>
        <v>52.57</v>
      </c>
      <c r="G91" s="128">
        <f t="shared" si="55"/>
        <v>66.069999999999993</v>
      </c>
      <c r="H91" s="128">
        <f t="shared" si="56"/>
        <v>81.55</v>
      </c>
      <c r="I91" s="123">
        <f t="shared" si="51"/>
        <v>815.5</v>
      </c>
      <c r="J91" s="123">
        <f t="shared" ca="1" si="57"/>
        <v>13.272400647837017</v>
      </c>
    </row>
    <row r="92" spans="1:10" x14ac:dyDescent="0.25">
      <c r="A92" s="82">
        <f>Q8+0.1</f>
        <v>5000.1000000000004</v>
      </c>
      <c r="B92" s="124">
        <f t="shared" si="52"/>
        <v>0.22999999999999998</v>
      </c>
      <c r="C92" s="126">
        <f>E16</f>
        <v>14.66</v>
      </c>
      <c r="D92" s="128">
        <f>E23</f>
        <v>31.26</v>
      </c>
      <c r="E92" s="128">
        <f t="shared" si="53"/>
        <v>46.45</v>
      </c>
      <c r="F92" s="128">
        <f t="shared" si="54"/>
        <v>62.59</v>
      </c>
      <c r="G92" s="128">
        <f t="shared" si="55"/>
        <v>78.13</v>
      </c>
      <c r="H92" s="128">
        <f t="shared" si="56"/>
        <v>86.95</v>
      </c>
      <c r="I92" s="123">
        <f t="shared" si="51"/>
        <v>869.5</v>
      </c>
      <c r="J92" s="123">
        <f t="shared" ca="1" si="57"/>
        <v>17.42929188103389</v>
      </c>
    </row>
    <row r="95" spans="1:10" x14ac:dyDescent="0.25">
      <c r="A95" s="123" t="s">
        <v>241</v>
      </c>
      <c r="B95" s="146">
        <f>B83</f>
        <v>39.35167820481513</v>
      </c>
      <c r="C95" s="123" t="s">
        <v>17</v>
      </c>
    </row>
    <row r="96" spans="1:10" x14ac:dyDescent="0.25">
      <c r="A96" s="123" t="s">
        <v>242</v>
      </c>
      <c r="B96" s="146">
        <f>B80</f>
        <v>2040</v>
      </c>
      <c r="C96" s="123" t="s">
        <v>165</v>
      </c>
    </row>
    <row r="97" spans="1:3" x14ac:dyDescent="0.25">
      <c r="A97" s="123" t="s">
        <v>243</v>
      </c>
      <c r="B97" s="147">
        <f ca="1">_xlfn.FORECAST.LINEAR(Press1,OFFSET(J87:J92,MATCH(Press1,A87:A92,1)-1,0,2),OFFSET(A87:A92,MATCH(Press1,A87:A92,1)-1,0,2))</f>
        <v>7.6010640101735643</v>
      </c>
      <c r="C97" s="123" t="s">
        <v>18</v>
      </c>
    </row>
  </sheetData>
  <mergeCells count="3">
    <mergeCell ref="C9:E9"/>
    <mergeCell ref="F9:H9"/>
    <mergeCell ref="L9:N9"/>
  </mergeCells>
  <pageMargins left="0.70866141732283472" right="0.70866141732283472" top="0.74803149606299213" bottom="0.74803149606299213" header="0.31496062992125984" footer="0.31496062992125984"/>
  <pageSetup scale="63" orientation="landscape" r:id="rId1"/>
  <rowBreaks count="1" manualBreakCount="1">
    <brk id="54" max="1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 xmlns="b3561afa-cefe-4049-a22e-6a867bd744a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70DD74B38D1E04BAACCBE2F440FA6A3" ma:contentTypeVersion="10" ma:contentTypeDescription="Create a new document." ma:contentTypeScope="" ma:versionID="2e40691622413f041c46040c74f25882">
  <xsd:schema xmlns:xsd="http://www.w3.org/2001/XMLSchema" xmlns:xs="http://www.w3.org/2001/XMLSchema" xmlns:p="http://schemas.microsoft.com/office/2006/metadata/properties" xmlns:ns2="b3561afa-cefe-4049-a22e-6a867bd744ab" xmlns:ns3="78378303-077c-497f-ae02-bc03df67cab3" targetNamespace="http://schemas.microsoft.com/office/2006/metadata/properties" ma:root="true" ma:fieldsID="65ced1afd9b47cc560342ef5fecd50cc" ns2:_="" ns3:_="">
    <xsd:import namespace="b3561afa-cefe-4049-a22e-6a867bd744ab"/>
    <xsd:import namespace="78378303-077c-497f-ae02-bc03df67cab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Dat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561afa-cefe-4049-a22e-6a867bd744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Date" ma:index="13" nillable="true" ma:displayName="Date" ma:format="DateOnly" ma:internalName="Date">
      <xsd:simpleType>
        <xsd:restriction base="dms:DateTim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8378303-077c-497f-ae02-bc03df67cab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F7A218-60BB-485F-979B-05393DA8C43A}">
  <ds:schemaRefs>
    <ds:schemaRef ds:uri="http://schemas.microsoft.com/office/2006/metadata/properties"/>
    <ds:schemaRef ds:uri="http://schemas.microsoft.com/office/infopath/2007/PartnerControls"/>
    <ds:schemaRef ds:uri="b3561afa-cefe-4049-a22e-6a867bd744ab"/>
  </ds:schemaRefs>
</ds:datastoreItem>
</file>

<file path=customXml/itemProps2.xml><?xml version="1.0" encoding="utf-8"?>
<ds:datastoreItem xmlns:ds="http://schemas.openxmlformats.org/officeDocument/2006/customXml" ds:itemID="{552D5EB4-1249-440E-ACF1-5DA15FD742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561afa-cefe-4049-a22e-6a867bd744ab"/>
    <ds:schemaRef ds:uri="78378303-077c-497f-ae02-bc03df67ca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4725C0-A9AB-4C0D-A930-5D148174DA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12</vt:i4>
      </vt:variant>
      <vt:variant>
        <vt:lpstr>Charts</vt:lpstr>
      </vt:variant>
      <vt:variant>
        <vt:i4>3</vt:i4>
      </vt:variant>
      <vt:variant>
        <vt:lpstr>Named Ranges</vt:lpstr>
      </vt:variant>
      <vt:variant>
        <vt:i4>44</vt:i4>
      </vt:variant>
    </vt:vector>
  </HeadingPairs>
  <TitlesOfParts>
    <vt:vector size="59" baseType="lpstr">
      <vt:lpstr>PumpSize</vt:lpstr>
      <vt:lpstr>CalData-FUS</vt:lpstr>
      <vt:lpstr>SOLAR_DATA</vt:lpstr>
      <vt:lpstr>COMET2_SH300</vt:lpstr>
      <vt:lpstr>COMET2_DH300</vt:lpstr>
      <vt:lpstr>COMET2_HP-DH500</vt:lpstr>
      <vt:lpstr>F2_300_SH</vt:lpstr>
      <vt:lpstr>F2_300_DH</vt:lpstr>
      <vt:lpstr>F2_500_SH</vt:lpstr>
      <vt:lpstr>F2_500_DH</vt:lpstr>
      <vt:lpstr>DH -COMET_100</vt:lpstr>
      <vt:lpstr>DH -F2_100</vt:lpstr>
      <vt:lpstr>DH_COMET_100 PLOTS</vt:lpstr>
      <vt:lpstr>DH_F2_100 PLOTS</vt:lpstr>
      <vt:lpstr>Pump Curves</vt:lpstr>
      <vt:lpstr>COMET2_DH300!__RPM1</vt:lpstr>
      <vt:lpstr>'COMET2_HP-DH500'!__RPM1</vt:lpstr>
      <vt:lpstr>COMET2_SH300!__RPM1</vt:lpstr>
      <vt:lpstr>'DH -COMET_100'!__RPM1</vt:lpstr>
      <vt:lpstr>'DH -F2_100'!__RPM1</vt:lpstr>
      <vt:lpstr>F2_300_DH!__RPM1</vt:lpstr>
      <vt:lpstr>F2_300_SH!__RPM1</vt:lpstr>
      <vt:lpstr>F2_500_DH!__RPM1</vt:lpstr>
      <vt:lpstr>F2_500_SH!__RPM1</vt:lpstr>
      <vt:lpstr>Bat.Cap</vt:lpstr>
      <vt:lpstr>Bat.Cap.Req</vt:lpstr>
      <vt:lpstr>datalist</vt:lpstr>
      <vt:lpstr>F.disch</vt:lpstr>
      <vt:lpstr>F.temp</vt:lpstr>
      <vt:lpstr>I.Avg</vt:lpstr>
      <vt:lpstr>I.Pavg</vt:lpstr>
      <vt:lpstr>Insight</vt:lpstr>
      <vt:lpstr>MPPT</vt:lpstr>
      <vt:lpstr>Pavg</vt:lpstr>
      <vt:lpstr>COMET2_DH300!Press1</vt:lpstr>
      <vt:lpstr>'COMET2_HP-DH500'!Press1</vt:lpstr>
      <vt:lpstr>COMET2_SH300!Press1</vt:lpstr>
      <vt:lpstr>'DH -COMET_100'!Press1</vt:lpstr>
      <vt:lpstr>'DH -F2_100'!Press1</vt:lpstr>
      <vt:lpstr>F2_300_DH!Press1</vt:lpstr>
      <vt:lpstr>F2_300_SH!Press1</vt:lpstr>
      <vt:lpstr>F2_500_DH!Press1</vt:lpstr>
      <vt:lpstr>F2_500_SH!Press1</vt:lpstr>
      <vt:lpstr>COMET2_DH300!Print_Area</vt:lpstr>
      <vt:lpstr>'COMET2_HP-DH500'!Print_Area</vt:lpstr>
      <vt:lpstr>COMET2_SH300!Print_Area</vt:lpstr>
      <vt:lpstr>'DH -COMET_100'!Print_Area</vt:lpstr>
      <vt:lpstr>'DH -F2_100'!Print_Area</vt:lpstr>
      <vt:lpstr>F2_300_DH!Print_Area</vt:lpstr>
      <vt:lpstr>F2_300_SH!Print_Area</vt:lpstr>
      <vt:lpstr>F2_500_DH!Print_Area</vt:lpstr>
      <vt:lpstr>F2_500_SH!Print_Area</vt:lpstr>
      <vt:lpstr>Pwr.10.Day</vt:lpstr>
      <vt:lpstr>Pwr.Day</vt:lpstr>
      <vt:lpstr>Q</vt:lpstr>
      <vt:lpstr>Q.Pavg</vt:lpstr>
      <vt:lpstr>Rechrg.Time</vt:lpstr>
      <vt:lpstr>t.cycle</vt:lpstr>
      <vt:lpstr>V.Panel</vt:lpstr>
    </vt:vector>
  </TitlesOfParts>
  <Manager/>
  <Company>Noetic Engineering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 Shute</dc:creator>
  <cp:keywords/>
  <dc:description/>
  <cp:lastModifiedBy>Rob Riddell</cp:lastModifiedBy>
  <cp:revision/>
  <cp:lastPrinted>2021-07-05T19:31:03Z</cp:lastPrinted>
  <dcterms:created xsi:type="dcterms:W3CDTF">2005-01-25T15:39:59Z</dcterms:created>
  <dcterms:modified xsi:type="dcterms:W3CDTF">2021-11-03T22:36:17Z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G. Meijer</vt:lpwstr>
  </property>
  <property fmtid="{D5CDD505-2E9C-101B-9397-08002B2CF9AE}" pid="3" name="Client">
    <vt:lpwstr>Sirius Products Inc.</vt:lpwstr>
  </property>
  <property fmtid="{D5CDD505-2E9C-101B-9397-08002B2CF9AE}" pid="4" name="Date completed">
    <vt:lpwstr>March 22, 2006</vt:lpwstr>
  </property>
  <property fmtid="{D5CDD505-2E9C-101B-9397-08002B2CF9AE}" pid="5" name="_NewReviewCycle">
    <vt:lpwstr/>
  </property>
  <property fmtid="{D5CDD505-2E9C-101B-9397-08002B2CF9AE}" pid="6" name="ContentTypeId">
    <vt:lpwstr>0x010100570DD74B38D1E04BAACCBE2F440FA6A3</vt:lpwstr>
  </property>
</Properties>
</file>