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mith\SIRIUS INSTRUMENTATION &amp; CONTROLS\Sales - Quotes\Templates\"/>
    </mc:Choice>
  </mc:AlternateContent>
  <xr:revisionPtr revIDLastSave="0" documentId="8_{76A7346D-9E67-4163-B5B5-21AFF9602F0F}" xr6:coauthVersionLast="45" xr6:coauthVersionMax="45" xr10:uidLastSave="{00000000-0000-0000-0000-000000000000}"/>
  <workbookProtection workbookPassword="CD52" lockStructure="1"/>
  <bookViews>
    <workbookView xWindow="-120" yWindow="-120" windowWidth="29040" windowHeight="15840" tabRatio="831" xr2:uid="{00000000-000D-0000-FFFF-FFFF00000000}"/>
  </bookViews>
  <sheets>
    <sheet name="PumpSize" sheetId="5" r:id="rId1"/>
    <sheet name="Flow Range" sheetId="18" state="hidden" r:id="rId2"/>
    <sheet name="SH Pumps" sheetId="14" state="hidden" r:id="rId3"/>
    <sheet name="DH Pumps" sheetId="15" state="hidden" r:id="rId4"/>
    <sheet name="SH-DH Pumps" sheetId="16" state="hidden" r:id="rId5"/>
    <sheet name="SH-DH Pumps (2)" sheetId="19" state="hidden" r:id="rId6"/>
    <sheet name="Summary Data" sheetId="13" state="hidden" r:id="rId7"/>
    <sheet name="CalData" sheetId="12" state="hidden" r:id="rId8"/>
  </sheets>
  <definedNames>
    <definedName name="AmpD">OFFSET(#REF!,1,0,#REF!,1)</definedName>
    <definedName name="Bat.Cap">PumpSize!$D$15</definedName>
    <definedName name="Bat.Cap.Req">PumpSize!$D$35</definedName>
    <definedName name="Bias">#REF!</definedName>
    <definedName name="C.0.DH.I">#REF!</definedName>
    <definedName name="C.0.DH.Q">#REF!</definedName>
    <definedName name="C.0.SH.I">#REF!</definedName>
    <definedName name="C.0.SH.Q">#REF!</definedName>
    <definedName name="C.1.DH.I">#REF!</definedName>
    <definedName name="C.1.DH.Q">#REF!</definedName>
    <definedName name="C.1.SH.I">#REF!</definedName>
    <definedName name="C.1.SH.Q">#REF!</definedName>
    <definedName name="C.2.DH.I">#REF!</definedName>
    <definedName name="C.2.DH.Q">#REF!</definedName>
    <definedName name="C.2.SH.I">#REF!</definedName>
    <definedName name="C.2.SH.Q">#REF!</definedName>
    <definedName name="datalist">OFFSET(CalData!$V$3,0,0,COUNTA(CalData!$V$3:$V$15),1)</definedName>
    <definedName name="Duty">PumpSize!$D$24</definedName>
    <definedName name="F.disch">PumpSize!$D$34</definedName>
    <definedName name="F.temp">PumpSize!$D$33</definedName>
    <definedName name="Flow">#REF!</definedName>
    <definedName name="FlowD">OFFSET(#REF!,1,0,#REF!,1)</definedName>
    <definedName name="Fluid">PumpSize!#REF!</definedName>
    <definedName name="I.Avg">PumpSize!$D$29</definedName>
    <definedName name="I.Panel.Max">PumpSize!#REF!</definedName>
    <definedName name="I.Pavg">PumpSize!$D$28</definedName>
    <definedName name="I.Standby">PumpSize!$D$30</definedName>
    <definedName name="Locn">PumpSize!$D$14</definedName>
    <definedName name="N.Panels">PumpSize!#REF!</definedName>
    <definedName name="OnTime.Nominal">#REF!</definedName>
    <definedName name="OnTime.Q2">#REF!</definedName>
    <definedName name="OnTime.Q3">#REF!</definedName>
    <definedName name="OnTime.Q4">#REF!</definedName>
    <definedName name="OnTime.QMax">#REF!</definedName>
    <definedName name="OnTime.QMin">#REF!</definedName>
    <definedName name="Pavg">PumpSize!$D$8</definedName>
    <definedName name="Pmax">#REF!</definedName>
    <definedName name="Pmin">#REF!</definedName>
    <definedName name="PressD">OFFSET(#REF!,1,0,#REF!,1)</definedName>
    <definedName name="Pressure">#REF!</definedName>
    <definedName name="Pwr.10.Day">PumpSize!$D$32</definedName>
    <definedName name="Pwr.Day">PumpSize!$D$31</definedName>
    <definedName name="Pwr.Panel">PumpSize!#REF!</definedName>
    <definedName name="Q">PumpSize!$K$7</definedName>
    <definedName name="Q.1">#REF!</definedName>
    <definedName name="Q.2">#REF!</definedName>
    <definedName name="Q.3">#REF!</definedName>
    <definedName name="Q.4">#REF!</definedName>
    <definedName name="Q.max">#REF!</definedName>
    <definedName name="Q.min">#REF!</definedName>
    <definedName name="Q.Pavg">PumpSize!$D$23</definedName>
    <definedName name="Q.Rnd">#REF!</definedName>
    <definedName name="Rechrg.I">PumpSize!$D$39</definedName>
    <definedName name="Rechrg.Time">PumpSize!$D$19</definedName>
    <definedName name="t.cycle">PumpSize!$D$13</definedName>
    <definedName name="t.Off">PumpSize!#REF!</definedName>
    <definedName name="t.On">PumpSize!$D$60</definedName>
    <definedName name="V.Panel">PumpSize!$D$27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G410" i="12" l="1"/>
  <c r="G411" i="12"/>
  <c r="G412" i="12"/>
  <c r="G413" i="12"/>
  <c r="G414" i="12"/>
  <c r="G415" i="12"/>
  <c r="G416" i="12"/>
  <c r="G417" i="12"/>
  <c r="G409" i="12"/>
  <c r="V11" i="12" l="1"/>
  <c r="W11" i="12"/>
  <c r="X11" i="12"/>
  <c r="E410" i="12"/>
  <c r="E411" i="12"/>
  <c r="E412" i="12"/>
  <c r="E413" i="12"/>
  <c r="E414" i="12"/>
  <c r="E415" i="12"/>
  <c r="E416" i="12"/>
  <c r="E417" i="12"/>
  <c r="E409" i="12"/>
  <c r="B407" i="12" l="1"/>
  <c r="I400" i="12"/>
  <c r="AB11" i="12" s="1"/>
  <c r="H400" i="12"/>
  <c r="AA11" i="12" s="1"/>
  <c r="R83" i="5"/>
  <c r="S83" i="5" s="1"/>
  <c r="R82" i="5"/>
  <c r="S82" i="5" s="1"/>
  <c r="M82" i="5"/>
  <c r="M83" i="5"/>
  <c r="N82" i="5"/>
  <c r="N83" i="5"/>
  <c r="R81" i="5"/>
  <c r="S81" i="5" s="1"/>
  <c r="N81" i="5"/>
  <c r="M81" i="5"/>
  <c r="O85" i="5"/>
  <c r="P85" i="5"/>
  <c r="M85" i="5"/>
  <c r="N85" i="5"/>
  <c r="R85" i="5"/>
  <c r="S85" i="5" s="1"/>
  <c r="S86" i="5"/>
  <c r="P84" i="5"/>
  <c r="O84" i="5"/>
  <c r="M84" i="5"/>
  <c r="N84" i="5"/>
  <c r="R84" i="5"/>
  <c r="S84" i="5" s="1"/>
  <c r="D46" i="5"/>
  <c r="K55" i="5"/>
  <c r="K59" i="5"/>
  <c r="K52" i="5"/>
  <c r="K46" i="5"/>
  <c r="K64" i="5"/>
  <c r="K54" i="5"/>
  <c r="K66" i="5"/>
  <c r="K42" i="5"/>
  <c r="K43" i="5"/>
  <c r="K68" i="5"/>
  <c r="K61" i="5"/>
  <c r="K49" i="5"/>
  <c r="K50" i="5"/>
  <c r="K57" i="5"/>
  <c r="K47" i="5"/>
  <c r="K60" i="5"/>
  <c r="K63" i="5"/>
  <c r="K62" i="5"/>
  <c r="K48" i="5"/>
  <c r="K45" i="5"/>
  <c r="K44" i="5"/>
  <c r="K65" i="5"/>
  <c r="K58" i="5"/>
  <c r="K56" i="5"/>
  <c r="K67" i="5"/>
  <c r="K51" i="5"/>
  <c r="K72" i="5"/>
  <c r="K80" i="5"/>
  <c r="K74" i="5"/>
  <c r="K70" i="5"/>
  <c r="K69" i="5"/>
  <c r="K73" i="5"/>
  <c r="K71" i="5"/>
  <c r="K75" i="5"/>
  <c r="K78" i="5"/>
  <c r="K77" i="5"/>
  <c r="K79" i="5"/>
  <c r="K76" i="5"/>
  <c r="K53" i="5"/>
  <c r="H1" i="12"/>
  <c r="AA3" i="12" s="1"/>
  <c r="I1" i="12"/>
  <c r="AB3" i="12" s="1"/>
  <c r="W1" i="12"/>
  <c r="W2" i="12"/>
  <c r="V3" i="12"/>
  <c r="W3" i="12"/>
  <c r="X3" i="12"/>
  <c r="V4" i="12"/>
  <c r="W4" i="12"/>
  <c r="X4" i="12"/>
  <c r="V5" i="12"/>
  <c r="W5" i="12"/>
  <c r="X5" i="12"/>
  <c r="V6" i="12"/>
  <c r="W6" i="12"/>
  <c r="X6" i="12"/>
  <c r="V7" i="12"/>
  <c r="W7" i="12"/>
  <c r="X7" i="12"/>
  <c r="B8" i="12"/>
  <c r="F2" i="12" s="1"/>
  <c r="G8" i="12" s="1"/>
  <c r="G1" i="12" s="1"/>
  <c r="Z3" i="12" s="1"/>
  <c r="V8" i="12"/>
  <c r="W8" i="12"/>
  <c r="X8" i="12"/>
  <c r="V9" i="12"/>
  <c r="W9" i="12"/>
  <c r="X9" i="12"/>
  <c r="D10" i="12"/>
  <c r="D11" i="12" s="1"/>
  <c r="E10" i="12"/>
  <c r="V10" i="12"/>
  <c r="W10" i="12"/>
  <c r="X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AD48" i="12"/>
  <c r="AE48" i="12" s="1"/>
  <c r="AD49" i="12"/>
  <c r="AE49" i="12" s="1"/>
  <c r="H50" i="12"/>
  <c r="AA4" i="12" s="1"/>
  <c r="I50" i="12"/>
  <c r="AB4" i="12"/>
  <c r="AD50" i="12"/>
  <c r="AE50" i="12" s="1"/>
  <c r="AD51" i="12"/>
  <c r="AE51" i="12" s="1"/>
  <c r="AD52" i="12"/>
  <c r="AE52" i="12" s="1"/>
  <c r="AE53" i="12"/>
  <c r="AD54" i="12"/>
  <c r="AE54" i="12" s="1"/>
  <c r="AD55" i="12"/>
  <c r="AE55" i="12" s="1"/>
  <c r="AD56" i="12"/>
  <c r="AE56" i="12" s="1"/>
  <c r="B57" i="12"/>
  <c r="F51" i="12" s="1"/>
  <c r="AD57" i="12"/>
  <c r="AE57" i="12" s="1"/>
  <c r="AD58" i="12"/>
  <c r="AE58" i="12" s="1"/>
  <c r="D59" i="12"/>
  <c r="D60" i="12" s="1"/>
  <c r="D61" i="12" s="1"/>
  <c r="E59" i="12"/>
  <c r="AD59" i="12"/>
  <c r="AE59" i="12" s="1"/>
  <c r="E60" i="12"/>
  <c r="AD60" i="12"/>
  <c r="AE60" i="12" s="1"/>
  <c r="E61" i="12"/>
  <c r="AD61" i="12"/>
  <c r="AE61" i="12" s="1"/>
  <c r="E62" i="12"/>
  <c r="AD62" i="12"/>
  <c r="AE62" i="12" s="1"/>
  <c r="E63" i="12"/>
  <c r="AD63" i="12"/>
  <c r="AE63" i="12" s="1"/>
  <c r="E65" i="12"/>
  <c r="E66" i="12"/>
  <c r="E67" i="12"/>
  <c r="E68" i="12"/>
  <c r="E69" i="12"/>
  <c r="E70" i="12"/>
  <c r="E71" i="12"/>
  <c r="E72" i="12"/>
  <c r="E73" i="12"/>
  <c r="E74" i="12"/>
  <c r="H100" i="12"/>
  <c r="AA5" i="12" s="1"/>
  <c r="I100" i="12"/>
  <c r="AB5" i="12" s="1"/>
  <c r="B107" i="12"/>
  <c r="F101" i="12" s="1"/>
  <c r="G107" i="12" s="1"/>
  <c r="G100" i="12" s="1"/>
  <c r="Z5" i="12" s="1"/>
  <c r="D109" i="12"/>
  <c r="D110" i="12" s="1"/>
  <c r="E109" i="12"/>
  <c r="F109" i="12" s="1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H150" i="12"/>
  <c r="AA6" i="12" s="1"/>
  <c r="I150" i="12"/>
  <c r="AB6" i="12" s="1"/>
  <c r="B157" i="12"/>
  <c r="F151" i="12" s="1"/>
  <c r="G157" i="12" s="1"/>
  <c r="G150" i="12" s="1"/>
  <c r="Z6" i="12" s="1"/>
  <c r="D159" i="12"/>
  <c r="D160" i="12" s="1"/>
  <c r="D161" i="12" s="1"/>
  <c r="E159" i="12"/>
  <c r="E160" i="12"/>
  <c r="E161" i="12"/>
  <c r="E162" i="12"/>
  <c r="E163" i="12"/>
  <c r="E165" i="12"/>
  <c r="E166" i="12"/>
  <c r="E167" i="12"/>
  <c r="E168" i="12"/>
  <c r="E169" i="12"/>
  <c r="E170" i="12"/>
  <c r="E171" i="12"/>
  <c r="E172" i="12"/>
  <c r="E173" i="12"/>
  <c r="E174" i="12"/>
  <c r="H200" i="12"/>
  <c r="AA7" i="12" s="1"/>
  <c r="I200" i="12"/>
  <c r="AB7" i="12" s="1"/>
  <c r="B207" i="12"/>
  <c r="F201" i="12" s="1"/>
  <c r="G207" i="12" s="1"/>
  <c r="G200" i="12" s="1"/>
  <c r="Z7" i="12" s="1"/>
  <c r="E209" i="12"/>
  <c r="F209" i="12" s="1"/>
  <c r="D6" i="13" s="1"/>
  <c r="E210" i="12"/>
  <c r="F210" i="12" s="1"/>
  <c r="D7" i="13" s="1"/>
  <c r="E211" i="12"/>
  <c r="F211" i="12" s="1"/>
  <c r="E212" i="12"/>
  <c r="F212" i="12" s="1"/>
  <c r="D9" i="13" s="1"/>
  <c r="E213" i="12"/>
  <c r="F213" i="12" s="1"/>
  <c r="D10" i="13" s="1"/>
  <c r="E214" i="12"/>
  <c r="F214" i="12" s="1"/>
  <c r="D11" i="13" s="1"/>
  <c r="E215" i="12"/>
  <c r="F215" i="12" s="1"/>
  <c r="D12" i="13" s="1"/>
  <c r="E216" i="12"/>
  <c r="F216" i="12" s="1"/>
  <c r="D13" i="13" s="1"/>
  <c r="E217" i="12"/>
  <c r="F217" i="12" s="1"/>
  <c r="D14" i="13" s="1"/>
  <c r="E218" i="12"/>
  <c r="F218" i="12" s="1"/>
  <c r="D15" i="13" s="1"/>
  <c r="H250" i="12"/>
  <c r="AA8" i="12" s="1"/>
  <c r="I250" i="12"/>
  <c r="AB8" i="12" s="1"/>
  <c r="B257" i="12"/>
  <c r="F251" i="12" s="1"/>
  <c r="E259" i="12"/>
  <c r="F259" i="12" s="1"/>
  <c r="D43" i="13" s="1"/>
  <c r="E260" i="12"/>
  <c r="F260" i="12" s="1"/>
  <c r="D44" i="13" s="1"/>
  <c r="E261" i="12"/>
  <c r="F261" i="12" s="1"/>
  <c r="D45" i="13" s="1"/>
  <c r="E262" i="12"/>
  <c r="F262" i="12" s="1"/>
  <c r="D46" i="13" s="1"/>
  <c r="E263" i="12"/>
  <c r="F263" i="12"/>
  <c r="D47" i="13" s="1"/>
  <c r="E264" i="12"/>
  <c r="F264" i="12" s="1"/>
  <c r="D48" i="13" s="1"/>
  <c r="E265" i="12"/>
  <c r="F265" i="12" s="1"/>
  <c r="D49" i="13" s="1"/>
  <c r="E266" i="12"/>
  <c r="F266" i="12" s="1"/>
  <c r="D50" i="13" s="1"/>
  <c r="E267" i="12"/>
  <c r="F267" i="12" s="1"/>
  <c r="D51" i="13" s="1"/>
  <c r="E268" i="12"/>
  <c r="F268" i="12" s="1"/>
  <c r="D52" i="13" s="1"/>
  <c r="H300" i="12"/>
  <c r="AA9" i="12" s="1"/>
  <c r="I300" i="12"/>
  <c r="AB9" i="12" s="1"/>
  <c r="B307" i="12"/>
  <c r="H350" i="12"/>
  <c r="AA10" i="12" s="1"/>
  <c r="I350" i="12"/>
  <c r="AB10" i="12" s="1"/>
  <c r="B357" i="12"/>
  <c r="F351" i="12" s="1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C43" i="13"/>
  <c r="E43" i="13"/>
  <c r="F43" i="13"/>
  <c r="C44" i="13"/>
  <c r="E44" i="13"/>
  <c r="F44" i="13"/>
  <c r="C45" i="13"/>
  <c r="E45" i="13"/>
  <c r="F45" i="13"/>
  <c r="C46" i="13"/>
  <c r="E46" i="13"/>
  <c r="F46" i="13"/>
  <c r="C47" i="13"/>
  <c r="E47" i="13"/>
  <c r="F47" i="13"/>
  <c r="C48" i="13"/>
  <c r="E48" i="13"/>
  <c r="F48" i="13"/>
  <c r="C49" i="13"/>
  <c r="E49" i="13"/>
  <c r="F49" i="13"/>
  <c r="C50" i="13"/>
  <c r="E50" i="13"/>
  <c r="C51" i="13"/>
  <c r="E51" i="13"/>
  <c r="C52" i="13"/>
  <c r="E52" i="13"/>
  <c r="E53" i="13"/>
  <c r="F53" i="13"/>
  <c r="D49" i="18"/>
  <c r="I49" i="18" s="1"/>
  <c r="H49" i="18"/>
  <c r="D50" i="18"/>
  <c r="J50" i="18" s="1"/>
  <c r="H50" i="18"/>
  <c r="D51" i="18"/>
  <c r="J51" i="18" s="1"/>
  <c r="H51" i="18"/>
  <c r="D52" i="18"/>
  <c r="J52" i="18" s="1"/>
  <c r="H52" i="18"/>
  <c r="D53" i="18"/>
  <c r="J53" i="18" s="1"/>
  <c r="H53" i="18"/>
  <c r="D9" i="5"/>
  <c r="L13" i="5"/>
  <c r="Q18" i="5"/>
  <c r="Q19" i="5"/>
  <c r="M24" i="5"/>
  <c r="K7" i="5" s="1"/>
  <c r="D33" i="5"/>
  <c r="R53" i="5"/>
  <c r="S53" i="5" s="1"/>
  <c r="R55" i="5"/>
  <c r="S55" i="5" s="1"/>
  <c r="R59" i="5"/>
  <c r="S59" i="5" s="1"/>
  <c r="R52" i="5"/>
  <c r="S52" i="5" s="1"/>
  <c r="R46" i="5"/>
  <c r="S46" i="5" s="1"/>
  <c r="R64" i="5"/>
  <c r="S64" i="5" s="1"/>
  <c r="R54" i="5"/>
  <c r="S54" i="5" s="1"/>
  <c r="R66" i="5"/>
  <c r="S66" i="5" s="1"/>
  <c r="R42" i="5"/>
  <c r="S42" i="5" s="1"/>
  <c r="R43" i="5"/>
  <c r="S43" i="5" s="1"/>
  <c r="R68" i="5"/>
  <c r="S68" i="5" s="1"/>
  <c r="R61" i="5"/>
  <c r="S61" i="5" s="1"/>
  <c r="R49" i="5"/>
  <c r="S49" i="5" s="1"/>
  <c r="R50" i="5"/>
  <c r="S50" i="5" s="1"/>
  <c r="R57" i="5"/>
  <c r="S57" i="5" s="1"/>
  <c r="R47" i="5"/>
  <c r="S47" i="5" s="1"/>
  <c r="R60" i="5"/>
  <c r="S60" i="5" s="1"/>
  <c r="R63" i="5"/>
  <c r="S63" i="5" s="1"/>
  <c r="R62" i="5"/>
  <c r="S62" i="5" s="1"/>
  <c r="R48" i="5"/>
  <c r="S48" i="5" s="1"/>
  <c r="D62" i="5"/>
  <c r="R45" i="5"/>
  <c r="S45" i="5" s="1"/>
  <c r="R44" i="5"/>
  <c r="S44" i="5" s="1"/>
  <c r="R65" i="5"/>
  <c r="S65" i="5" s="1"/>
  <c r="R58" i="5"/>
  <c r="S58" i="5" s="1"/>
  <c r="R56" i="5"/>
  <c r="S56" i="5" s="1"/>
  <c r="R67" i="5"/>
  <c r="S67" i="5" s="1"/>
  <c r="M51" i="5"/>
  <c r="R51" i="5"/>
  <c r="S51" i="5" s="1"/>
  <c r="M72" i="5"/>
  <c r="N72" i="5"/>
  <c r="O72" i="5"/>
  <c r="P72" i="5"/>
  <c r="R72" i="5"/>
  <c r="S72" i="5" s="1"/>
  <c r="M80" i="5"/>
  <c r="N80" i="5"/>
  <c r="O80" i="5"/>
  <c r="P80" i="5"/>
  <c r="R80" i="5"/>
  <c r="S80" i="5" s="1"/>
  <c r="M74" i="5"/>
  <c r="N74" i="5"/>
  <c r="O74" i="5"/>
  <c r="P74" i="5"/>
  <c r="R74" i="5"/>
  <c r="S74" i="5" s="1"/>
  <c r="M70" i="5"/>
  <c r="N70" i="5"/>
  <c r="O70" i="5"/>
  <c r="P70" i="5"/>
  <c r="R70" i="5"/>
  <c r="S70" i="5" s="1"/>
  <c r="M69" i="5"/>
  <c r="N69" i="5"/>
  <c r="O69" i="5"/>
  <c r="P69" i="5"/>
  <c r="R69" i="5"/>
  <c r="S69" i="5" s="1"/>
  <c r="M73" i="5"/>
  <c r="N73" i="5"/>
  <c r="O73" i="5"/>
  <c r="P73" i="5"/>
  <c r="R73" i="5"/>
  <c r="S73" i="5" s="1"/>
  <c r="M71" i="5"/>
  <c r="N71" i="5"/>
  <c r="O71" i="5"/>
  <c r="P71" i="5"/>
  <c r="R71" i="5"/>
  <c r="S71" i="5" s="1"/>
  <c r="M75" i="5"/>
  <c r="N75" i="5"/>
  <c r="O75" i="5"/>
  <c r="P75" i="5"/>
  <c r="R75" i="5"/>
  <c r="M78" i="5"/>
  <c r="N78" i="5"/>
  <c r="O78" i="5"/>
  <c r="P78" i="5"/>
  <c r="R78" i="5"/>
  <c r="S78" i="5" s="1"/>
  <c r="M77" i="5"/>
  <c r="N77" i="5"/>
  <c r="O77" i="5"/>
  <c r="P77" i="5"/>
  <c r="R77" i="5"/>
  <c r="S77" i="5" s="1"/>
  <c r="M79" i="5"/>
  <c r="N79" i="5"/>
  <c r="O79" i="5"/>
  <c r="P79" i="5"/>
  <c r="R79" i="5"/>
  <c r="S79" i="5" s="1"/>
  <c r="M76" i="5"/>
  <c r="N76" i="5"/>
  <c r="O76" i="5"/>
  <c r="P76" i="5"/>
  <c r="R76" i="5"/>
  <c r="S76" i="5" s="1"/>
  <c r="D47" i="5" l="1"/>
  <c r="D45" i="5"/>
  <c r="D44" i="5"/>
  <c r="Q20" i="5"/>
  <c r="Q21" i="5" s="1"/>
  <c r="S75" i="5"/>
  <c r="F257" i="12"/>
  <c r="F250" i="12" s="1"/>
  <c r="Y8" i="12" s="1"/>
  <c r="I51" i="18"/>
  <c r="I50" i="18"/>
  <c r="J49" i="18"/>
  <c r="F59" i="12"/>
  <c r="B43" i="13" s="1"/>
  <c r="I52" i="18"/>
  <c r="O13" i="5"/>
  <c r="P13" i="5" s="1"/>
  <c r="Q13" i="5"/>
  <c r="F19" i="5" s="1"/>
  <c r="F160" i="12"/>
  <c r="F301" i="12"/>
  <c r="G307" i="12" s="1"/>
  <c r="G300" i="12" s="1"/>
  <c r="Z9" i="12" s="1"/>
  <c r="F10" i="12"/>
  <c r="B6" i="13" s="1"/>
  <c r="F159" i="12"/>
  <c r="F401" i="12"/>
  <c r="G407" i="12" s="1"/>
  <c r="G400" i="12" s="1"/>
  <c r="Z11" i="12" s="1"/>
  <c r="F207" i="12"/>
  <c r="F200" i="12" s="1"/>
  <c r="Y7" i="12" s="1"/>
  <c r="D8" i="13"/>
  <c r="D62" i="12"/>
  <c r="F61" i="12"/>
  <c r="B45" i="13" s="1"/>
  <c r="D111" i="12"/>
  <c r="F110" i="12"/>
  <c r="D162" i="12"/>
  <c r="F161" i="12"/>
  <c r="F60" i="12"/>
  <c r="B44" i="13" s="1"/>
  <c r="F11" i="12"/>
  <c r="B7" i="13" s="1"/>
  <c r="D12" i="12"/>
  <c r="D13" i="12" s="1"/>
  <c r="I53" i="18"/>
  <c r="G357" i="12"/>
  <c r="G350" i="12" s="1"/>
  <c r="Z10" i="12" s="1"/>
  <c r="G257" i="12"/>
  <c r="G250" i="12" s="1"/>
  <c r="Z8" i="12" s="1"/>
  <c r="F357" i="12"/>
  <c r="F350" i="12" s="1"/>
  <c r="Y10" i="12" s="1"/>
  <c r="G57" i="12"/>
  <c r="G50" i="12" s="1"/>
  <c r="Z4" i="12" s="1"/>
  <c r="J45" i="5" l="1"/>
  <c r="D51" i="5" s="1"/>
  <c r="J40" i="5" s="1"/>
  <c r="N13" i="5"/>
  <c r="D27" i="5"/>
  <c r="O26" i="5" s="1"/>
  <c r="L20" i="5" s="1"/>
  <c r="F307" i="12"/>
  <c r="F300" i="12" s="1"/>
  <c r="Y9" i="12" s="1"/>
  <c r="F407" i="12"/>
  <c r="F400" i="12" s="1"/>
  <c r="Y11" i="12" s="1"/>
  <c r="F13" i="12"/>
  <c r="B9" i="13" s="1"/>
  <c r="D14" i="12"/>
  <c r="D63" i="12"/>
  <c r="F62" i="12"/>
  <c r="B46" i="13" s="1"/>
  <c r="F12" i="12"/>
  <c r="B8" i="13" s="1"/>
  <c r="F111" i="12"/>
  <c r="D112" i="12"/>
  <c r="D163" i="12"/>
  <c r="F162" i="12"/>
  <c r="D28" i="5" l="1"/>
  <c r="F63" i="12"/>
  <c r="B47" i="13" s="1"/>
  <c r="D64" i="12"/>
  <c r="D164" i="12"/>
  <c r="F163" i="12"/>
  <c r="D15" i="12"/>
  <c r="F14" i="12"/>
  <c r="B10" i="13" s="1"/>
  <c r="F112" i="12"/>
  <c r="D113" i="12"/>
  <c r="D114" i="12" l="1"/>
  <c r="F113" i="12"/>
  <c r="F164" i="12"/>
  <c r="D165" i="12"/>
  <c r="F15" i="12"/>
  <c r="D16" i="12"/>
  <c r="D65" i="12"/>
  <c r="F64" i="12"/>
  <c r="F65" i="12" l="1"/>
  <c r="B49" i="13" s="1"/>
  <c r="D66" i="12"/>
  <c r="F165" i="12"/>
  <c r="D166" i="12"/>
  <c r="B48" i="13"/>
  <c r="F16" i="12"/>
  <c r="B12" i="13" s="1"/>
  <c r="D17" i="12"/>
  <c r="B11" i="13"/>
  <c r="F114" i="12"/>
  <c r="D115" i="12"/>
  <c r="F115" i="12" l="1"/>
  <c r="D116" i="12"/>
  <c r="D18" i="12"/>
  <c r="F17" i="12"/>
  <c r="B13" i="13" s="1"/>
  <c r="D167" i="12"/>
  <c r="F166" i="12"/>
  <c r="F66" i="12"/>
  <c r="B50" i="13" s="1"/>
  <c r="D67" i="12"/>
  <c r="F167" i="12" l="1"/>
  <c r="D168" i="12"/>
  <c r="F18" i="12"/>
  <c r="B14" i="13" s="1"/>
  <c r="D19" i="12"/>
  <c r="D68" i="12"/>
  <c r="F67" i="12"/>
  <c r="B51" i="13" s="1"/>
  <c r="F116" i="12"/>
  <c r="D117" i="12"/>
  <c r="D69" i="12" l="1"/>
  <c r="F68" i="12"/>
  <c r="B52" i="13" s="1"/>
  <c r="F168" i="12"/>
  <c r="D169" i="12"/>
  <c r="F19" i="12"/>
  <c r="B15" i="13" s="1"/>
  <c r="D20" i="12"/>
  <c r="D118" i="12"/>
  <c r="F117" i="12"/>
  <c r="F20" i="12" l="1"/>
  <c r="B16" i="13" s="1"/>
  <c r="D21" i="12"/>
  <c r="D170" i="12"/>
  <c r="F169" i="12"/>
  <c r="D119" i="12"/>
  <c r="F118" i="12"/>
  <c r="D70" i="12"/>
  <c r="F69" i="12"/>
  <c r="B53" i="13" s="1"/>
  <c r="F119" i="12" l="1"/>
  <c r="D120" i="12"/>
  <c r="D171" i="12"/>
  <c r="F170" i="12"/>
  <c r="F21" i="12"/>
  <c r="B17" i="13" s="1"/>
  <c r="D22" i="12"/>
  <c r="D71" i="12"/>
  <c r="F70" i="12"/>
  <c r="B54" i="13" s="1"/>
  <c r="D23" i="12" l="1"/>
  <c r="F22" i="12"/>
  <c r="B18" i="13" s="1"/>
  <c r="D172" i="12"/>
  <c r="F171" i="12"/>
  <c r="F120" i="12"/>
  <c r="D121" i="12"/>
  <c r="F71" i="12"/>
  <c r="B55" i="13" s="1"/>
  <c r="D72" i="12"/>
  <c r="D73" i="12" l="1"/>
  <c r="F72" i="12"/>
  <c r="B56" i="13" s="1"/>
  <c r="F121" i="12"/>
  <c r="D122" i="12"/>
  <c r="F172" i="12"/>
  <c r="D173" i="12"/>
  <c r="F23" i="12"/>
  <c r="B19" i="13" s="1"/>
  <c r="D24" i="12"/>
  <c r="D25" i="12" l="1"/>
  <c r="F25" i="12" s="1"/>
  <c r="F24" i="12"/>
  <c r="B20" i="13" s="1"/>
  <c r="F173" i="12"/>
  <c r="D174" i="12"/>
  <c r="F174" i="12" s="1"/>
  <c r="F157" i="12" s="1"/>
  <c r="F150" i="12" s="1"/>
  <c r="Y6" i="12" s="1"/>
  <c r="F122" i="12"/>
  <c r="D123" i="12"/>
  <c r="F73" i="12"/>
  <c r="B57" i="13" s="1"/>
  <c r="D74" i="12"/>
  <c r="F74" i="12" s="1"/>
  <c r="B58" i="13" l="1"/>
  <c r="F57" i="12"/>
  <c r="F50" i="12" s="1"/>
  <c r="Y4" i="12" s="1"/>
  <c r="B21" i="13"/>
  <c r="F8" i="12"/>
  <c r="F1" i="12" s="1"/>
  <c r="Y3" i="12" s="1"/>
  <c r="D124" i="12"/>
  <c r="F124" i="12" s="1"/>
  <c r="F123" i="12"/>
  <c r="F107" i="12" l="1"/>
  <c r="F100" i="12" s="1"/>
  <c r="Y5" i="12" s="1"/>
  <c r="M13" i="5" s="1"/>
  <c r="D23" i="5" s="1"/>
  <c r="V26" i="5" l="1"/>
  <c r="D24" i="5"/>
  <c r="D59" i="5" s="1"/>
  <c r="V40" i="5" l="1"/>
  <c r="V38" i="5"/>
  <c r="V36" i="5"/>
  <c r="V39" i="5"/>
  <c r="V37" i="5"/>
  <c r="V35" i="5"/>
  <c r="V41" i="5"/>
  <c r="V29" i="5"/>
  <c r="V32" i="5"/>
  <c r="V30" i="5"/>
  <c r="V28" i="5"/>
  <c r="V31" i="5"/>
  <c r="V33" i="5"/>
  <c r="V27" i="5"/>
  <c r="W26" i="5"/>
  <c r="X26" i="5"/>
  <c r="D29" i="5"/>
  <c r="D31" i="5" s="1"/>
  <c r="D48" i="5" s="1"/>
  <c r="J41" i="5" s="1"/>
  <c r="J42" i="5" s="1"/>
  <c r="D61" i="5"/>
  <c r="D19" i="5"/>
  <c r="D60" i="5"/>
  <c r="D18" i="5" s="1"/>
  <c r="W39" i="5" l="1"/>
  <c r="X39" i="5"/>
  <c r="W38" i="5"/>
  <c r="X38" i="5"/>
  <c r="X36" i="5"/>
  <c r="W36" i="5"/>
  <c r="W40" i="5"/>
  <c r="X40" i="5"/>
  <c r="W41" i="5"/>
  <c r="X41" i="5"/>
  <c r="W35" i="5"/>
  <c r="X35" i="5"/>
  <c r="W37" i="5"/>
  <c r="X37" i="5"/>
  <c r="X27" i="5"/>
  <c r="W31" i="5"/>
  <c r="X31" i="5"/>
  <c r="W30" i="5"/>
  <c r="X30" i="5"/>
  <c r="W32" i="5"/>
  <c r="X32" i="5"/>
  <c r="W33" i="5"/>
  <c r="X33" i="5"/>
  <c r="W28" i="5"/>
  <c r="X28" i="5"/>
  <c r="W29" i="5"/>
  <c r="X29" i="5"/>
  <c r="W27" i="5"/>
  <c r="D32" i="5"/>
  <c r="D35" i="5" s="1"/>
  <c r="D36" i="5" s="1"/>
  <c r="D37" i="5" s="1"/>
  <c r="D52" i="5"/>
  <c r="D54" i="5" s="1"/>
  <c r="D38" i="5" l="1"/>
  <c r="D53" i="5"/>
</calcChain>
</file>

<file path=xl/sharedStrings.xml><?xml version="1.0" encoding="utf-8"?>
<sst xmlns="http://schemas.openxmlformats.org/spreadsheetml/2006/main" count="469" uniqueCount="242">
  <si>
    <t xml:space="preserve"> </t>
  </si>
  <si>
    <t>Sirius Instrumentation
and Controls Inc. 
www.siriuscontrols.com
All Rights Reserved</t>
  </si>
  <si>
    <t>Sirius Flow-Spec Pump Sizing Program</t>
  </si>
  <si>
    <t>World map</t>
  </si>
  <si>
    <t>http://worldmap.harvard.edu/maps/oilandgasmap</t>
  </si>
  <si>
    <t>http://solarelectricityhandbook.com/solar-irradiance.html</t>
  </si>
  <si>
    <t>User Inputs - Edit yellow cells</t>
  </si>
  <si>
    <t>Rev. 7.1 Nov 22, 2020</t>
  </si>
  <si>
    <t>US solar data</t>
  </si>
  <si>
    <t>in kWhrs/m2/day</t>
  </si>
  <si>
    <t>Q - L/day</t>
  </si>
  <si>
    <t>http://rredc.nrel.gov/solar/pubs/redbook/</t>
  </si>
  <si>
    <t>Design Parameters</t>
  </si>
  <si>
    <t>Candas data</t>
  </si>
  <si>
    <t>kWhrs/kw/month</t>
  </si>
  <si>
    <t>Design Pressure ( psi)</t>
  </si>
  <si>
    <t>(psi)</t>
  </si>
  <si>
    <t>http://pv.nrcan.gc.ca/index.php?n=720&amp;m=u&amp;lang=e</t>
  </si>
  <si>
    <t>Design Pressure (kPa)</t>
  </si>
  <si>
    <t>kPa</t>
  </si>
  <si>
    <t>Daily volume required</t>
  </si>
  <si>
    <t>L/day</t>
  </si>
  <si>
    <t>Interp</t>
  </si>
  <si>
    <t>Select Pump</t>
  </si>
  <si>
    <t>24V-Dual Head COMET</t>
  </si>
  <si>
    <t>Pump Selected</t>
  </si>
  <si>
    <t>Max Flow</t>
  </si>
  <si>
    <t>Max Current</t>
  </si>
  <si>
    <t>Panel Voltage</t>
  </si>
  <si>
    <t>Pump Voltage</t>
  </si>
  <si>
    <t>maxP</t>
  </si>
  <si>
    <t>Multiplexors Installed</t>
  </si>
  <si>
    <t>No</t>
  </si>
  <si>
    <t>Cycle Time</t>
  </si>
  <si>
    <t>(seconds)</t>
  </si>
  <si>
    <t>Location (1= Canada)</t>
  </si>
  <si>
    <t>Battery Capacity</t>
  </si>
  <si>
    <t>(AmpHrs)</t>
  </si>
  <si>
    <t>Lowest Battery Temp</t>
  </si>
  <si>
    <t>&gt;=0C</t>
  </si>
  <si>
    <t>Mean insolation</t>
  </si>
  <si>
    <t>mJ/m2</t>
  </si>
  <si>
    <t>Minimum # of Days Autonomy (7-10 typ.)</t>
  </si>
  <si>
    <t>(days)</t>
  </si>
  <si>
    <t>PV potential</t>
  </si>
  <si>
    <t>kwhr/kw/mo july</t>
  </si>
  <si>
    <t>Warnings</t>
  </si>
  <si>
    <t>kw/m2</t>
  </si>
  <si>
    <t>Mux Current</t>
  </si>
  <si>
    <t>kwhr/kw/day</t>
  </si>
  <si>
    <t>Intermediate Calculations</t>
  </si>
  <si>
    <t>performance factor 0.75</t>
  </si>
  <si>
    <t>Flow</t>
  </si>
  <si>
    <t>USE THIS TABLE TO DETERMINE MAXIMUM FLOW POSSIBLE PER POINT ON MULTI-POINTS</t>
  </si>
  <si>
    <t>Continuous pump flow at Design Pressure</t>
  </si>
  <si>
    <t>Duty cycle [t.On/(t.On+t.Off)]</t>
  </si>
  <si>
    <t>Current Factor</t>
  </si>
  <si>
    <t>Multiplexor</t>
  </si>
  <si>
    <t>Current adder</t>
  </si>
  <si>
    <t>Number of Points</t>
  </si>
  <si>
    <t>Q/day</t>
  </si>
  <si>
    <t>G/day</t>
  </si>
  <si>
    <t>Battery Power</t>
  </si>
  <si>
    <t>Unit Conv</t>
  </si>
  <si>
    <t>Factor</t>
  </si>
  <si>
    <t>Yes</t>
  </si>
  <si>
    <t xml:space="preserve">   Solar Panel Operating Voltage (16V or 32V)</t>
  </si>
  <si>
    <t>(VDC)</t>
  </si>
  <si>
    <t>Current at Design Pressure</t>
  </si>
  <si>
    <t>(Amps)</t>
  </si>
  <si>
    <t>US-Quarts/day</t>
  </si>
  <si>
    <t>Average Current</t>
  </si>
  <si>
    <t>US-Gal/day</t>
  </si>
  <si>
    <t>Standby Current (Controller)</t>
  </si>
  <si>
    <t>Daily Energy Usage</t>
  </si>
  <si>
    <t>Energy for total num days autonomy</t>
  </si>
  <si>
    <t>Temperature Factor</t>
  </si>
  <si>
    <t>Performance Factor - System efficency</t>
  </si>
  <si>
    <t>Battery Capacity for number days autonomy</t>
  </si>
  <si>
    <t>performance factor allows for conversion effiecinecy, cabling, and other losses.</t>
  </si>
  <si>
    <t># Batteries Required</t>
  </si>
  <si>
    <t>for Canadian data</t>
  </si>
  <si>
    <t>Excess Battery Capacity</t>
  </si>
  <si>
    <t xml:space="preserve">Performance Factor = </t>
  </si>
  <si>
    <t>http://198.103.48.154/fichier.php/codectec/Fr/2006-046/2006-046_OP-J_411-SOLRES_PV+map.pdf</t>
  </si>
  <si>
    <t>Final Autonomy</t>
  </si>
  <si>
    <t>Days</t>
  </si>
  <si>
    <t>https://glfc.cfsnet.nfis.org/mapserver/pv/municip.php?n=720&amp;NEK=e</t>
  </si>
  <si>
    <t>PV Potential Worst Month kWh/kW/mo</t>
  </si>
  <si>
    <t>PV Potential Best Month  kWh/kW/mo</t>
  </si>
  <si>
    <t>Area</t>
  </si>
  <si>
    <t>Ideal Tilt</t>
  </si>
  <si>
    <t>Worst Case Solar Energy Latitude Compensation</t>
  </si>
  <si>
    <t>TOWN</t>
  </si>
  <si>
    <t>Verticle</t>
  </si>
  <si>
    <t>Lat + 15deg</t>
  </si>
  <si>
    <t>Lat + 15</t>
  </si>
  <si>
    <t>Latitude</t>
  </si>
  <si>
    <t>Lat+15</t>
  </si>
  <si>
    <t>CDN-Athabasca</t>
  </si>
  <si>
    <t xml:space="preserve">   Location</t>
  </si>
  <si>
    <t>Sunlight min avg Worst Month</t>
  </si>
  <si>
    <t>CDN-Bonnyville</t>
  </si>
  <si>
    <t>Kuwait</t>
  </si>
  <si>
    <t>(Hrs per day) verticle panel</t>
  </si>
  <si>
    <t>CDN-Brooks</t>
  </si>
  <si>
    <t xml:space="preserve">   At Ideal Panel Tilt angle (from Horiz.)</t>
  </si>
  <si>
    <t>(Hrs per day) tilted panel</t>
  </si>
  <si>
    <t>CDN-Calgary</t>
  </si>
  <si>
    <t xml:space="preserve">   Location Latitude </t>
  </si>
  <si>
    <t>(deg North)</t>
  </si>
  <si>
    <t>CDN-Dawson Creek</t>
  </si>
  <si>
    <t xml:space="preserve">   Ideal Panel Tilt (from Horiz.)</t>
  </si>
  <si>
    <t>(deg)</t>
  </si>
  <si>
    <t>CDN-Drayton Valley</t>
  </si>
  <si>
    <t xml:space="preserve">   Daily power consumption of pump</t>
  </si>
  <si>
    <t>(Watt-Hrs)</t>
  </si>
  <si>
    <t>CDN-Drumheller</t>
  </si>
  <si>
    <t>CDN-Edmonton</t>
  </si>
  <si>
    <t xml:space="preserve">   Select Panel Size                                     (Watts)</t>
  </si>
  <si>
    <t>(Watts/Panel)</t>
  </si>
  <si>
    <t>CDN-Edson</t>
  </si>
  <si>
    <t xml:space="preserve">   Power Stored per Day per panel</t>
  </si>
  <si>
    <t>CDN-Estevan</t>
  </si>
  <si>
    <t xml:space="preserve">   Number of Panels</t>
  </si>
  <si>
    <t>Panels</t>
  </si>
  <si>
    <t>CDN-Fort McMurray</t>
  </si>
  <si>
    <t xml:space="preserve">   Total power Stored per day</t>
  </si>
  <si>
    <t>CDN-Ft. Nelson</t>
  </si>
  <si>
    <t xml:space="preserve">   Excess Capacity  %</t>
  </si>
  <si>
    <t>Excess Panel Power</t>
  </si>
  <si>
    <t>CDN-Grande Praire</t>
  </si>
  <si>
    <t>CDN-High Level</t>
  </si>
  <si>
    <t>CDN-Lethbridge</t>
  </si>
  <si>
    <t>Output Timing</t>
  </si>
  <si>
    <t>CDN-Lloydminster</t>
  </si>
  <si>
    <t>Flow time</t>
  </si>
  <si>
    <t>CDN-Medicine Hat</t>
  </si>
  <si>
    <t xml:space="preserve">   Duty Cycle</t>
  </si>
  <si>
    <t>CDN-Pink Mountain</t>
  </si>
  <si>
    <t xml:space="preserve">   On time</t>
  </si>
  <si>
    <t>CDN-Ponoka</t>
  </si>
  <si>
    <t xml:space="preserve">   Off Time</t>
  </si>
  <si>
    <t>CDN-Prince George</t>
  </si>
  <si>
    <t xml:space="preserve">   Total Cycle Time (On+Off Time)</t>
  </si>
  <si>
    <t>CDN-Red Deer</t>
  </si>
  <si>
    <t>CDN-Rimbey</t>
  </si>
  <si>
    <t>CDN-Slave Lake</t>
  </si>
  <si>
    <t>FRM-102</t>
  </si>
  <si>
    <t>CDN-Swift Current</t>
  </si>
  <si>
    <t>CDN-Valleyview</t>
  </si>
  <si>
    <t>CDN-Weyburn</t>
  </si>
  <si>
    <t>CDN-Whitecourt</t>
  </si>
  <si>
    <t>USA-California-Bakersfield</t>
  </si>
  <si>
    <t>USA-Colorado-Boulder</t>
  </si>
  <si>
    <t>USA-New Mexico-Albuquerque</t>
  </si>
  <si>
    <t>USA-North Dakota-Minot</t>
  </si>
  <si>
    <t>USA-Oklahoma-OK city</t>
  </si>
  <si>
    <t>USA-Pennsylvania-Williamsport</t>
  </si>
  <si>
    <t>USA-Texas-Amarillo</t>
  </si>
  <si>
    <t>USA-Texas-Corpus Christi</t>
  </si>
  <si>
    <t>USA-Texas--ElPaso</t>
  </si>
  <si>
    <t>USA-Texas--Ft.Worth/Midland</t>
  </si>
  <si>
    <t>USA-Texas-San Antonio</t>
  </si>
  <si>
    <t>USA-Wyoming-Rock Springs</t>
  </si>
  <si>
    <t>Argentina-Nequen</t>
  </si>
  <si>
    <t>Argentina-ComodoroRivadavia</t>
  </si>
  <si>
    <t>est</t>
  </si>
  <si>
    <t>Argentina-RioGallegos</t>
  </si>
  <si>
    <t>Malaysia</t>
  </si>
  <si>
    <t>Malaysia-Miri</t>
  </si>
  <si>
    <t>Pakistan</t>
  </si>
  <si>
    <t>USA-Texas--San Diego</t>
  </si>
  <si>
    <t>Bar Graph</t>
  </si>
  <si>
    <t>Pump Name</t>
  </si>
  <si>
    <t>Min</t>
  </si>
  <si>
    <t>Opt High</t>
  </si>
  <si>
    <t>Max</t>
  </si>
  <si>
    <t>Volume</t>
  </si>
  <si>
    <t>Single Head COMET</t>
  </si>
  <si>
    <t>Dual Head COMET</t>
  </si>
  <si>
    <t>Single Head-HP-COMET</t>
  </si>
  <si>
    <t>Dual Head-HP-COMET</t>
  </si>
  <si>
    <t xml:space="preserve">Dual Head High Vol COMET </t>
  </si>
  <si>
    <t>Pressure</t>
  </si>
  <si>
    <t>Single Head Pumps</t>
  </si>
  <si>
    <t>12V-Single Head COMET</t>
  </si>
  <si>
    <t>12V-Single Head-HP-COMET</t>
  </si>
  <si>
    <t>Dual Head Pumps</t>
  </si>
  <si>
    <t>12V-Dual Head COMET</t>
  </si>
  <si>
    <t>12V-Dual Head-HP-COMET</t>
  </si>
  <si>
    <t xml:space="preserve">12V-Dual Head High Vol COMET </t>
  </si>
  <si>
    <t>Data Set:</t>
  </si>
  <si>
    <t>Data Summary Table</t>
  </si>
  <si>
    <t>Pump Rev:</t>
  </si>
  <si>
    <t>B</t>
  </si>
  <si>
    <t>Set</t>
  </si>
  <si>
    <t>Name-datalist</t>
  </si>
  <si>
    <t>Row</t>
  </si>
  <si>
    <t>Interp Flow</t>
  </si>
  <si>
    <t>Interp I</t>
  </si>
  <si>
    <t>Voltage</t>
  </si>
  <si>
    <t>Max P</t>
  </si>
  <si>
    <t>Date:</t>
  </si>
  <si>
    <t>Feb 18 2011</t>
  </si>
  <si>
    <t>Test Fluid</t>
  </si>
  <si>
    <t>Glycol/Water</t>
  </si>
  <si>
    <t>Motor</t>
  </si>
  <si>
    <t>1/3 HP</t>
  </si>
  <si>
    <t>Voltage(V)</t>
  </si>
  <si>
    <t>12 Est. I</t>
  </si>
  <si>
    <t>Stroke</t>
  </si>
  <si>
    <t>in</t>
  </si>
  <si>
    <t>psi</t>
  </si>
  <si>
    <t>Design Pressure</t>
  </si>
  <si>
    <t>Test (sec)</t>
  </si>
  <si>
    <t>Pressure (psi)</t>
  </si>
  <si>
    <t>Gauge</t>
  </si>
  <si>
    <t>Net
L</t>
  </si>
  <si>
    <t>Flow (L/day)</t>
  </si>
  <si>
    <t>Current (Amps)</t>
  </si>
  <si>
    <t>24V ,motor</t>
  </si>
  <si>
    <t>Dual Head Gen 3</t>
  </si>
  <si>
    <t>Time</t>
  </si>
  <si>
    <t>sec</t>
  </si>
  <si>
    <t>Net</t>
  </si>
  <si>
    <t>Daily</t>
  </si>
  <si>
    <t>amps</t>
  </si>
  <si>
    <t>Est 12V I</t>
  </si>
  <si>
    <t>24V-Single Head COMET</t>
  </si>
  <si>
    <t>C</t>
  </si>
  <si>
    <t>1/3 HP 12V Geared</t>
  </si>
  <si>
    <t>1/3 HP 12V</t>
  </si>
  <si>
    <t xml:space="preserve">24V-Dual Head High Vol COMET </t>
  </si>
  <si>
    <t xml:space="preserve">12V-Single Head High Vol TITAN </t>
  </si>
  <si>
    <t>GP-T</t>
  </si>
  <si>
    <t>12.6V</t>
  </si>
  <si>
    <t>Bodine 1/14 HP</t>
  </si>
  <si>
    <t>Water</t>
  </si>
  <si>
    <t>1/14 HP 12V</t>
  </si>
  <si>
    <t>Current (Amps*1.2)</t>
  </si>
  <si>
    <t>20% over allows for extra for PWM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</si>
</sst>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i/>
      <sz val="16"/>
      <color rgb="FFFFFF00"/>
      <name val="Arial"/>
      <family val="2"/>
    </font>
    <font>
      <b/>
      <sz val="14"/>
      <color rgb="FF444444"/>
      <name val="Segoe UI"/>
      <family val="2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1" xfId="0" applyFill="1" applyBorder="1" applyProtection="1">
      <protection locked="0"/>
    </xf>
    <xf numFmtId="2" fontId="0" fillId="0" borderId="0" xfId="0" applyNumberFormat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0" fillId="3" borderId="0" xfId="0" applyFill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4" xfId="0" applyBorder="1" applyProtection="1"/>
    <xf numFmtId="0" fontId="0" fillId="0" borderId="3" xfId="0" applyBorder="1" applyAlignment="1" applyProtection="1">
      <alignment horizontal="left" indent="1"/>
    </xf>
    <xf numFmtId="0" fontId="0" fillId="0" borderId="5" xfId="0" applyBorder="1" applyAlignment="1" applyProtection="1">
      <alignment horizontal="left" indent="1"/>
    </xf>
    <xf numFmtId="0" fontId="0" fillId="0" borderId="6" xfId="0" applyBorder="1" applyProtection="1"/>
    <xf numFmtId="0" fontId="4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horizontal="left" indent="1"/>
    </xf>
    <xf numFmtId="0" fontId="0" fillId="0" borderId="8" xfId="0" applyBorder="1" applyProtection="1"/>
    <xf numFmtId="0" fontId="0" fillId="0" borderId="3" xfId="0" applyBorder="1" applyAlignment="1" applyProtection="1">
      <alignment horizontal="left" indent="2"/>
    </xf>
    <xf numFmtId="164" fontId="0" fillId="0" borderId="0" xfId="0" applyNumberFormat="1" applyBorder="1" applyProtection="1"/>
    <xf numFmtId="165" fontId="0" fillId="4" borderId="1" xfId="3" applyNumberFormat="1" applyFont="1" applyFill="1" applyBorder="1" applyProtection="1"/>
    <xf numFmtId="165" fontId="0" fillId="0" borderId="0" xfId="3" applyNumberFormat="1" applyFont="1" applyFill="1" applyBorder="1" applyProtection="1"/>
    <xf numFmtId="0" fontId="4" fillId="0" borderId="3" xfId="0" applyFont="1" applyBorder="1" applyAlignment="1" applyProtection="1">
      <alignment horizontal="left" indent="1"/>
    </xf>
    <xf numFmtId="2" fontId="0" fillId="0" borderId="0" xfId="0" applyNumberFormat="1" applyBorder="1" applyProtection="1"/>
    <xf numFmtId="2" fontId="0" fillId="0" borderId="0" xfId="0" applyNumberFormat="1" applyFill="1" applyBorder="1" applyProtection="1"/>
    <xf numFmtId="164" fontId="0" fillId="4" borderId="1" xfId="0" applyNumberFormat="1" applyFill="1" applyBorder="1" applyProtection="1"/>
    <xf numFmtId="164" fontId="0" fillId="0" borderId="3" xfId="0" applyNumberFormat="1" applyFill="1" applyBorder="1" applyProtection="1"/>
    <xf numFmtId="1" fontId="0" fillId="0" borderId="0" xfId="0" applyNumberFormat="1" applyBorder="1" applyProtection="1"/>
    <xf numFmtId="1" fontId="0" fillId="0" borderId="0" xfId="0" applyNumberFormat="1" applyFill="1" applyBorder="1" applyProtection="1"/>
    <xf numFmtId="0" fontId="0" fillId="0" borderId="5" xfId="0" applyBorder="1" applyAlignment="1" applyProtection="1">
      <alignment horizontal="left" indent="2"/>
    </xf>
    <xf numFmtId="164" fontId="0" fillId="0" borderId="9" xfId="0" applyNumberFormat="1" applyBorder="1" applyProtection="1"/>
    <xf numFmtId="0" fontId="0" fillId="0" borderId="0" xfId="0" applyAlignment="1" applyProtection="1">
      <alignment horizontal="left" indent="2"/>
    </xf>
    <xf numFmtId="1" fontId="0" fillId="0" borderId="0" xfId="0" applyNumberFormat="1" applyProtection="1"/>
    <xf numFmtId="164" fontId="0" fillId="0" borderId="0" xfId="0" applyNumberFormat="1" applyFill="1" applyBorder="1" applyProtection="1"/>
    <xf numFmtId="0" fontId="0" fillId="0" borderId="7" xfId="0" applyBorder="1" applyProtection="1"/>
    <xf numFmtId="0" fontId="4" fillId="0" borderId="3" xfId="0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0" fontId="0" fillId="0" borderId="9" xfId="0" applyBorder="1" applyProtection="1"/>
    <xf numFmtId="0" fontId="5" fillId="0" borderId="0" xfId="0" applyFont="1" applyProtection="1"/>
    <xf numFmtId="0" fontId="0" fillId="0" borderId="3" xfId="0" applyFont="1" applyFill="1" applyBorder="1" applyAlignment="1" applyProtection="1">
      <alignment horizontal="left" indent="1"/>
    </xf>
    <xf numFmtId="0" fontId="4" fillId="0" borderId="7" xfId="0" applyFont="1" applyBorder="1" applyProtection="1"/>
    <xf numFmtId="164" fontId="0" fillId="6" borderId="1" xfId="0" applyNumberFormat="1" applyFill="1" applyBorder="1" applyProtection="1"/>
    <xf numFmtId="0" fontId="0" fillId="7" borderId="1" xfId="0" applyFill="1" applyBorder="1" applyProtection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7" borderId="9" xfId="0" applyFill="1" applyBorder="1" applyProtection="1"/>
    <xf numFmtId="1" fontId="0" fillId="8" borderId="1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8" fillId="7" borderId="5" xfId="0" applyFont="1" applyFill="1" applyBorder="1" applyProtection="1"/>
    <xf numFmtId="0" fontId="0" fillId="9" borderId="0" xfId="0" applyFill="1" applyProtection="1"/>
    <xf numFmtId="0" fontId="0" fillId="10" borderId="0" xfId="0" applyFill="1" applyProtection="1"/>
    <xf numFmtId="0" fontId="0" fillId="11" borderId="12" xfId="0" applyFill="1" applyBorder="1" applyProtection="1"/>
    <xf numFmtId="0" fontId="0" fillId="0" borderId="13" xfId="0" applyBorder="1" applyProtection="1"/>
    <xf numFmtId="0" fontId="0" fillId="8" borderId="12" xfId="0" applyFill="1" applyBorder="1" applyProtection="1"/>
    <xf numFmtId="0" fontId="0" fillId="12" borderId="0" xfId="0" applyFill="1" applyProtection="1"/>
    <xf numFmtId="0" fontId="0" fillId="8" borderId="0" xfId="0" applyFill="1" applyProtection="1"/>
    <xf numFmtId="0" fontId="0" fillId="14" borderId="0" xfId="0" applyFill="1" applyProtection="1"/>
    <xf numFmtId="0" fontId="0" fillId="11" borderId="14" xfId="0" applyFill="1" applyBorder="1" applyProtection="1"/>
    <xf numFmtId="0" fontId="0" fillId="5" borderId="0" xfId="0" applyFill="1" applyBorder="1" applyProtection="1"/>
    <xf numFmtId="0" fontId="0" fillId="2" borderId="0" xfId="0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0" fontId="9" fillId="15" borderId="0" xfId="0" applyFont="1" applyFill="1" applyProtection="1"/>
    <xf numFmtId="0" fontId="10" fillId="15" borderId="0" xfId="0" applyFont="1" applyFill="1" applyProtection="1"/>
    <xf numFmtId="0" fontId="4" fillId="8" borderId="12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Fill="1" applyBorder="1" applyProtection="1"/>
    <xf numFmtId="0" fontId="0" fillId="16" borderId="12" xfId="0" applyFill="1" applyBorder="1" applyProtection="1"/>
    <xf numFmtId="0" fontId="2" fillId="0" borderId="0" xfId="2" applyAlignment="1" applyProtection="1"/>
    <xf numFmtId="164" fontId="0" fillId="0" borderId="0" xfId="0" applyNumberFormat="1" applyProtection="1"/>
    <xf numFmtId="9" fontId="0" fillId="0" borderId="9" xfId="3" applyFont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center"/>
    </xf>
    <xf numFmtId="0" fontId="0" fillId="18" borderId="12" xfId="0" applyFill="1" applyBorder="1" applyProtection="1"/>
    <xf numFmtId="0" fontId="0" fillId="18" borderId="0" xfId="0" applyFill="1" applyProtection="1"/>
    <xf numFmtId="0" fontId="0" fillId="16" borderId="0" xfId="0" applyFill="1" applyProtection="1"/>
    <xf numFmtId="0" fontId="0" fillId="0" borderId="14" xfId="0" applyBorder="1" applyProtection="1"/>
    <xf numFmtId="0" fontId="0" fillId="0" borderId="0" xfId="0" applyFont="1" applyProtection="1"/>
    <xf numFmtId="0" fontId="11" fillId="0" borderId="0" xfId="0" applyFont="1" applyAlignment="1">
      <alignment wrapText="1"/>
    </xf>
    <xf numFmtId="0" fontId="8" fillId="7" borderId="6" xfId="0" applyFont="1" applyFill="1" applyBorder="1" applyProtection="1"/>
    <xf numFmtId="0" fontId="0" fillId="0" borderId="12" xfId="0" applyBorder="1" applyAlignment="1" applyProtection="1">
      <alignment horizontal="center"/>
    </xf>
    <xf numFmtId="164" fontId="0" fillId="19" borderId="1" xfId="0" applyNumberFormat="1" applyFill="1" applyBorder="1" applyProtection="1"/>
    <xf numFmtId="164" fontId="0" fillId="19" borderId="0" xfId="0" applyNumberFormat="1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2" fontId="0" fillId="0" borderId="12" xfId="0" applyNumberFormat="1" applyBorder="1" applyProtection="1"/>
    <xf numFmtId="0" fontId="0" fillId="5" borderId="0" xfId="0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Protection="1"/>
    <xf numFmtId="0" fontId="3" fillId="0" borderId="0" xfId="1" applyAlignment="1" applyProtection="1"/>
    <xf numFmtId="0" fontId="0" fillId="10" borderId="12" xfId="0" applyFill="1" applyBorder="1" applyProtection="1"/>
    <xf numFmtId="0" fontId="0" fillId="12" borderId="12" xfId="0" applyFill="1" applyBorder="1" applyProtection="1"/>
    <xf numFmtId="2" fontId="0" fillId="2" borderId="12" xfId="0" applyNumberFormat="1" applyFill="1" applyBorder="1" applyAlignment="1" applyProtection="1">
      <alignment horizontal="center"/>
    </xf>
    <xf numFmtId="0" fontId="14" fillId="0" borderId="12" xfId="0" applyFont="1" applyBorder="1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Alignment="1" applyProtection="1">
      <alignment horizontal="left" indent="1"/>
    </xf>
    <xf numFmtId="0" fontId="1" fillId="0" borderId="12" xfId="0" applyFont="1" applyBorder="1" applyProtection="1"/>
    <xf numFmtId="49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left" indent="2"/>
    </xf>
    <xf numFmtId="0" fontId="1" fillId="17" borderId="0" xfId="0" applyFont="1" applyFill="1" applyProtection="1"/>
    <xf numFmtId="0" fontId="1" fillId="0" borderId="4" xfId="0" applyFont="1" applyBorder="1" applyProtection="1"/>
    <xf numFmtId="0" fontId="1" fillId="8" borderId="1" xfId="0" applyFont="1" applyFill="1" applyBorder="1" applyAlignment="1" applyProtection="1">
      <alignment horizontal="left"/>
      <protection locked="0"/>
    </xf>
    <xf numFmtId="2" fontId="1" fillId="7" borderId="10" xfId="0" applyNumberFormat="1" applyFont="1" applyFill="1" applyBorder="1" applyAlignment="1" applyProtection="1">
      <alignment horizontal="center"/>
    </xf>
    <xf numFmtId="1" fontId="1" fillId="0" borderId="4" xfId="0" applyNumberFormat="1" applyFont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3" xfId="0" applyFont="1" applyBorder="1" applyProtection="1"/>
    <xf numFmtId="0" fontId="1" fillId="5" borderId="4" xfId="0" applyFont="1" applyFill="1" applyBorder="1" applyAlignment="1" applyProtection="1">
      <alignment horizontal="left"/>
    </xf>
    <xf numFmtId="0" fontId="1" fillId="18" borderId="12" xfId="0" applyFont="1" applyFill="1" applyBorder="1" applyProtection="1"/>
    <xf numFmtId="0" fontId="1" fillId="0" borderId="4" xfId="0" applyFont="1" applyFill="1" applyBorder="1" applyAlignment="1" applyProtection="1">
      <alignment horizontal="left"/>
    </xf>
    <xf numFmtId="0" fontId="1" fillId="0" borderId="5" xfId="0" applyFont="1" applyBorder="1" applyProtection="1"/>
    <xf numFmtId="0" fontId="1" fillId="0" borderId="6" xfId="0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2" xfId="0" applyFont="1" applyFill="1" applyBorder="1" applyProtection="1"/>
    <xf numFmtId="0" fontId="1" fillId="9" borderId="0" xfId="0" applyFont="1" applyFill="1" applyProtection="1"/>
    <xf numFmtId="0" fontId="1" fillId="10" borderId="0" xfId="0" applyFont="1" applyFill="1" applyProtection="1"/>
    <xf numFmtId="0" fontId="1" fillId="0" borderId="0" xfId="0" applyFont="1" applyBorder="1" applyProtection="1"/>
    <xf numFmtId="0" fontId="1" fillId="0" borderId="13" xfId="0" applyFont="1" applyBorder="1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wrapText="1"/>
    </xf>
    <xf numFmtId="0" fontId="1" fillId="13" borderId="0" xfId="0" applyFont="1" applyFill="1" applyProtection="1"/>
    <xf numFmtId="0" fontId="1" fillId="5" borderId="0" xfId="0" applyFont="1" applyFill="1" applyBorder="1" applyProtection="1"/>
    <xf numFmtId="15" fontId="1" fillId="0" borderId="0" xfId="0" applyNumberFormat="1" applyFont="1" applyProtection="1"/>
    <xf numFmtId="0" fontId="1" fillId="10" borderId="12" xfId="0" applyFont="1" applyFill="1" applyBorder="1" applyProtection="1"/>
    <xf numFmtId="15" fontId="1" fillId="0" borderId="12" xfId="0" applyNumberFormat="1" applyFont="1" applyBorder="1" applyProtection="1"/>
    <xf numFmtId="0" fontId="1" fillId="0" borderId="12" xfId="0" applyFont="1" applyBorder="1" applyAlignment="1" applyProtection="1">
      <alignment wrapText="1"/>
    </xf>
    <xf numFmtId="1" fontId="15" fillId="0" borderId="12" xfId="0" applyNumberFormat="1" applyFont="1" applyBorder="1" applyProtection="1"/>
    <xf numFmtId="165" fontId="0" fillId="4" borderId="0" xfId="3" applyNumberFormat="1" applyFont="1" applyFill="1" applyBorder="1" applyProtection="1"/>
    <xf numFmtId="164" fontId="0" fillId="4" borderId="0" xfId="0" applyNumberFormat="1" applyFill="1" applyBorder="1" applyProtection="1"/>
    <xf numFmtId="0" fontId="0" fillId="0" borderId="0" xfId="0" applyBorder="1" applyAlignment="1" applyProtection="1">
      <alignment horizontal="left" indent="2"/>
    </xf>
    <xf numFmtId="0" fontId="1" fillId="0" borderId="5" xfId="0" applyFont="1" applyBorder="1" applyAlignment="1" applyProtection="1">
      <alignment horizontal="left"/>
    </xf>
    <xf numFmtId="164" fontId="0" fillId="4" borderId="9" xfId="0" applyNumberFormat="1" applyFill="1" applyBorder="1" applyProtection="1"/>
    <xf numFmtId="164" fontId="0" fillId="0" borderId="9" xfId="0" applyNumberFormat="1" applyFill="1" applyBorder="1" applyProtection="1"/>
    <xf numFmtId="0" fontId="16" fillId="3" borderId="0" xfId="0" applyFont="1" applyFill="1" applyAlignment="1" applyProtection="1">
      <alignment horizontal="right"/>
    </xf>
    <xf numFmtId="0" fontId="13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</xf>
    <xf numFmtId="0" fontId="14" fillId="0" borderId="12" xfId="0" applyFont="1" applyBorder="1" applyAlignment="1">
      <alignment horizontal="left"/>
    </xf>
    <xf numFmtId="0" fontId="18" fillId="0" borderId="0" xfId="0" applyFont="1" applyBorder="1" applyAlignment="1" applyProtection="1">
      <alignment horizontal="center" wrapText="1"/>
    </xf>
    <xf numFmtId="1" fontId="12" fillId="0" borderId="12" xfId="0" applyNumberFormat="1" applyFont="1" applyBorder="1" applyAlignment="1">
      <alignment horizontal="left"/>
    </xf>
    <xf numFmtId="1" fontId="12" fillId="5" borderId="12" xfId="0" applyNumberFormat="1" applyFont="1" applyFill="1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 wrapText="1"/>
    </xf>
    <xf numFmtId="0" fontId="17" fillId="0" borderId="19" xfId="0" applyFont="1" applyBorder="1" applyAlignment="1" applyProtection="1">
      <alignment horizontal="center" wrapText="1"/>
    </xf>
    <xf numFmtId="0" fontId="17" fillId="0" borderId="20" xfId="0" applyFont="1" applyBorder="1" applyAlignment="1" applyProtection="1">
      <alignment horizontal="center" wrapText="1"/>
    </xf>
    <xf numFmtId="0" fontId="17" fillId="0" borderId="21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7" fillId="0" borderId="22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8" borderId="15" xfId="0" applyFill="1" applyBorder="1" applyAlignment="1" applyProtection="1">
      <alignment horizontal="left"/>
      <protection locked="0"/>
    </xf>
    <xf numFmtId="0" fontId="0" fillId="8" borderId="16" xfId="0" applyFill="1" applyBorder="1" applyAlignment="1" applyProtection="1">
      <alignment horizontal="left"/>
      <protection locked="0"/>
    </xf>
    <xf numFmtId="0" fontId="0" fillId="8" borderId="17" xfId="0" applyFill="1" applyBorder="1" applyAlignment="1" applyProtection="1">
      <alignment horizontal="left"/>
      <protection locked="0"/>
    </xf>
    <xf numFmtId="0" fontId="8" fillId="7" borderId="7" xfId="0" applyFont="1" applyFill="1" applyBorder="1" applyAlignment="1" applyProtection="1">
      <alignment horizontal="left"/>
    </xf>
    <xf numFmtId="0" fontId="8" fillId="7" borderId="8" xfId="0" applyFont="1" applyFill="1" applyBorder="1" applyAlignment="1" applyProtection="1">
      <alignment horizontal="left"/>
    </xf>
    <xf numFmtId="0" fontId="8" fillId="7" borderId="2" xfId="0" applyFont="1" applyFill="1" applyBorder="1" applyAlignment="1" applyProtection="1">
      <alignment horizontal="left"/>
    </xf>
    <xf numFmtId="0" fontId="1" fillId="18" borderId="12" xfId="0" applyFont="1" applyFill="1" applyBorder="1" applyAlignment="1" applyProtection="1">
      <alignment horizontal="center"/>
    </xf>
    <xf numFmtId="0" fontId="0" fillId="18" borderId="12" xfId="0" applyFill="1" applyBorder="1" applyAlignment="1" applyProtection="1">
      <alignment horizontal="center"/>
    </xf>
    <xf numFmtId="0" fontId="1" fillId="16" borderId="12" xfId="0" applyFont="1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/>
    </xf>
  </cellXfs>
  <cellStyles count="4">
    <cellStyle name="Followed Hyperlink" xfId="1" builtinId="9"/>
    <cellStyle name="Hyperlink" xfId="2" builtinId="8"/>
    <cellStyle name="Normal" xfId="0" builtinId="0"/>
    <cellStyle name="Percent" xfId="3" builtinId="5"/>
  </cellStyles>
  <dxfs count="1"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/>
              <a:t>Sirius Single Head Pumps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'Summary Data'!$B$5</c:f>
              <c:strCache>
                <c:ptCount val="1"/>
                <c:pt idx="0">
                  <c:v>12V-Single Head COMET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xVal>
            <c:numRef>
              <c:f>'Summary Data'!$A$6:$A$21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Data'!$B$6:$B$21</c:f>
              <c:numCache>
                <c:formatCode>General</c:formatCode>
                <c:ptCount val="16"/>
                <c:pt idx="0">
                  <c:v>424.28571428571428</c:v>
                </c:pt>
                <c:pt idx="1">
                  <c:v>377.14285714285717</c:v>
                </c:pt>
                <c:pt idx="2">
                  <c:v>360</c:v>
                </c:pt>
                <c:pt idx="3">
                  <c:v>355.71428571428572</c:v>
                </c:pt>
                <c:pt idx="4">
                  <c:v>347.14285714285717</c:v>
                </c:pt>
                <c:pt idx="5">
                  <c:v>342.85714285714283</c:v>
                </c:pt>
                <c:pt idx="6">
                  <c:v>334.28571428571428</c:v>
                </c:pt>
                <c:pt idx="7">
                  <c:v>325.71428571428572</c:v>
                </c:pt>
                <c:pt idx="8">
                  <c:v>317.14285714285717</c:v>
                </c:pt>
                <c:pt idx="9">
                  <c:v>310.71428571428572</c:v>
                </c:pt>
                <c:pt idx="10">
                  <c:v>300</c:v>
                </c:pt>
                <c:pt idx="11">
                  <c:v>297.85714285714283</c:v>
                </c:pt>
                <c:pt idx="12">
                  <c:v>282.85714285714283</c:v>
                </c:pt>
                <c:pt idx="13">
                  <c:v>278.57142857142856</c:v>
                </c:pt>
                <c:pt idx="14">
                  <c:v>278.57142857142856</c:v>
                </c:pt>
                <c:pt idx="15">
                  <c:v>278.57142857142856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E4-48BF-806E-8518D722B30B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12V-Single Head-HP-COMET</c:v>
                </c:pt>
              </c:strCache>
            </c:strRef>
          </c:tx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'Summary Data'!$C$6:$C$25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Data'!$D$6:$D$25</c:f>
              <c:numCache>
                <c:formatCode>General</c:formatCode>
                <c:ptCount val="20"/>
                <c:pt idx="0">
                  <c:v>312.50000000000006</c:v>
                </c:pt>
                <c:pt idx="1">
                  <c:v>291.26213592233006</c:v>
                </c:pt>
                <c:pt idx="2">
                  <c:v>273.97260273972603</c:v>
                </c:pt>
                <c:pt idx="3">
                  <c:v>270.27027027027026</c:v>
                </c:pt>
                <c:pt idx="4">
                  <c:v>259.74025974025972</c:v>
                </c:pt>
                <c:pt idx="5">
                  <c:v>250.00000000000003</c:v>
                </c:pt>
                <c:pt idx="6">
                  <c:v>241.93548387096774</c:v>
                </c:pt>
                <c:pt idx="7">
                  <c:v>230.76923076923077</c:v>
                </c:pt>
                <c:pt idx="8">
                  <c:v>219.78021978021977</c:v>
                </c:pt>
                <c:pt idx="9">
                  <c:v>212.76595744680853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E4-48BF-806E-8518D722B30B}"/>
            </c:ext>
          </c:extLst>
        </c:ser>
        <c:ser>
          <c:idx val="2"/>
          <c:order val="2"/>
          <c:tx>
            <c:strRef>
              <c:f>'Summary Data'!$F$5</c:f>
              <c:strCache>
                <c:ptCount val="1"/>
              </c:strCache>
            </c:strRef>
          </c:tx>
          <c:marker>
            <c:spPr>
              <a:solidFill>
                <a:srgbClr val="00B050"/>
              </a:solidFill>
            </c:spPr>
          </c:marker>
          <c:xVal>
            <c:numRef>
              <c:f>'Summary Data'!$E$6:$E$16</c:f>
              <c:numCache>
                <c:formatCode>General</c:formatCode>
                <c:ptCount val="11"/>
              </c:numCache>
            </c:numRef>
          </c:xVal>
          <c:yVal>
            <c:numRef>
              <c:f>'Summary Data'!$F$6:$F$16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E4-48BF-806E-8518D722B30B}"/>
            </c:ext>
          </c:extLst>
        </c:ser>
        <c:ser>
          <c:idx val="3"/>
          <c:order val="3"/>
          <c:tx>
            <c:strRef>
              <c:f>'Summary Data'!$H$5</c:f>
              <c:strCache>
                <c:ptCount val="1"/>
              </c:strCache>
            </c:strRef>
          </c:tx>
          <c:xVal>
            <c:numRef>
              <c:f>'Summary Data'!$G$6:$G$16</c:f>
              <c:numCache>
                <c:formatCode>General</c:formatCode>
                <c:ptCount val="11"/>
              </c:numCache>
            </c:numRef>
          </c:xVal>
          <c:yVal>
            <c:numRef>
              <c:f>'Summary Data'!$H$6:$H$16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E4-48BF-806E-8518D722B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469304"/>
        <c:axId val="1"/>
      </c:scatterChart>
      <c:valAx>
        <c:axId val="364469304"/>
        <c:scaling>
          <c:orientation val="minMax"/>
          <c:max val="5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Pressure psi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Volume L/Day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4469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17380519742726"/>
          <c:y val="0.45454552674107868"/>
          <c:w val="0.25082506994318021"/>
          <c:h val="0.1454546320892943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/>
              <a:t>Sirius Dual Head Pumps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'Summary Data'!$B$42</c:f>
              <c:strCache>
                <c:ptCount val="1"/>
                <c:pt idx="0">
                  <c:v>12V-Dual Head COMET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xVal>
            <c:numRef>
              <c:f>'Summary Data'!$A$43:$A$58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Data'!$B$43:$B$58</c:f>
              <c:numCache>
                <c:formatCode>General</c:formatCode>
                <c:ptCount val="16"/>
                <c:pt idx="0">
                  <c:v>891.42857142857144</c:v>
                </c:pt>
                <c:pt idx="1">
                  <c:v>745.71428571428567</c:v>
                </c:pt>
                <c:pt idx="2">
                  <c:v>694.28571428571433</c:v>
                </c:pt>
                <c:pt idx="3">
                  <c:v>660</c:v>
                </c:pt>
                <c:pt idx="4">
                  <c:v>617.14285714285711</c:v>
                </c:pt>
                <c:pt idx="5">
                  <c:v>608.57142857142856</c:v>
                </c:pt>
                <c:pt idx="6">
                  <c:v>600</c:v>
                </c:pt>
                <c:pt idx="7">
                  <c:v>574.28571428571433</c:v>
                </c:pt>
                <c:pt idx="8">
                  <c:v>548.57142857142856</c:v>
                </c:pt>
                <c:pt idx="9">
                  <c:v>531.42857142857144</c:v>
                </c:pt>
                <c:pt idx="10">
                  <c:v>514.28571428571433</c:v>
                </c:pt>
                <c:pt idx="11">
                  <c:v>505.71428571428572</c:v>
                </c:pt>
                <c:pt idx="12">
                  <c:v>488.57142857142856</c:v>
                </c:pt>
                <c:pt idx="13">
                  <c:v>467.14285714285717</c:v>
                </c:pt>
                <c:pt idx="14">
                  <c:v>450</c:v>
                </c:pt>
                <c:pt idx="15">
                  <c:v>428.57142857142856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DE-495A-9F21-19B39C2F33E0}"/>
            </c:ext>
          </c:extLst>
        </c:ser>
        <c:ser>
          <c:idx val="1"/>
          <c:order val="1"/>
          <c:tx>
            <c:strRef>
              <c:f>'Summary Data'!$D$42</c:f>
              <c:strCache>
                <c:ptCount val="1"/>
                <c:pt idx="0">
                  <c:v>12V-Dual Head-HP-COMET</c:v>
                </c:pt>
              </c:strCache>
            </c:strRef>
          </c:tx>
          <c:marker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'Summary Data'!$C$43:$C$62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Data'!$D$43:$D$62</c:f>
              <c:numCache>
                <c:formatCode>General</c:formatCode>
                <c:ptCount val="20"/>
                <c:pt idx="0">
                  <c:v>588.23529411764707</c:v>
                </c:pt>
                <c:pt idx="1">
                  <c:v>517.24137931034488</c:v>
                </c:pt>
                <c:pt idx="2">
                  <c:v>495.86776859504135</c:v>
                </c:pt>
                <c:pt idx="3">
                  <c:v>458.01526717557255</c:v>
                </c:pt>
                <c:pt idx="4">
                  <c:v>428.57142857142861</c:v>
                </c:pt>
                <c:pt idx="5">
                  <c:v>384.61538461538464</c:v>
                </c:pt>
                <c:pt idx="6">
                  <c:v>350.87719298245611</c:v>
                </c:pt>
                <c:pt idx="7">
                  <c:v>319.14893617021278</c:v>
                </c:pt>
                <c:pt idx="8">
                  <c:v>295.56650246305418</c:v>
                </c:pt>
                <c:pt idx="9">
                  <c:v>277.77777777777777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9DE-495A-9F21-19B39C2F33E0}"/>
            </c:ext>
          </c:extLst>
        </c:ser>
        <c:ser>
          <c:idx val="2"/>
          <c:order val="2"/>
          <c:tx>
            <c:strRef>
              <c:f>'Summary Data'!$F$42</c:f>
              <c:strCache>
                <c:ptCount val="1"/>
                <c:pt idx="0">
                  <c:v>12V-Dual Head High Vol COMET </c:v>
                </c:pt>
              </c:strCache>
            </c:strRef>
          </c:tx>
          <c:marker>
            <c:spPr>
              <a:solidFill>
                <a:srgbClr val="00B050"/>
              </a:solidFill>
            </c:spPr>
          </c:marker>
          <c:xVal>
            <c:numRef>
              <c:f>'Summary Data'!$E$43:$E$53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'Summary Data'!$F$43:$F$53</c:f>
              <c:numCache>
                <c:formatCode>General</c:formatCode>
                <c:ptCount val="11"/>
                <c:pt idx="0">
                  <c:v>1700</c:v>
                </c:pt>
                <c:pt idx="1">
                  <c:v>1680</c:v>
                </c:pt>
                <c:pt idx="2">
                  <c:v>1600</c:v>
                </c:pt>
                <c:pt idx="3">
                  <c:v>1520</c:v>
                </c:pt>
                <c:pt idx="4">
                  <c:v>1480</c:v>
                </c:pt>
                <c:pt idx="5">
                  <c:v>1470</c:v>
                </c:pt>
                <c:pt idx="6">
                  <c:v>1440</c:v>
                </c:pt>
                <c:pt idx="7">
                  <c:v>1420</c:v>
                </c:pt>
                <c:pt idx="8">
                  <c:v>1400</c:v>
                </c:pt>
                <c:pt idx="9">
                  <c:v>1380</c:v>
                </c:pt>
                <c:pt idx="10">
                  <c:v>1360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9DE-495A-9F21-19B39C2F3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646576"/>
        <c:axId val="1"/>
      </c:scatterChart>
      <c:valAx>
        <c:axId val="362646576"/>
        <c:scaling>
          <c:orientation val="minMax"/>
          <c:max val="3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Pressure psi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Volume L/day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646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027510022785615"/>
          <c:y val="0.47272715721427411"/>
          <c:w val="0.23872389028294538"/>
          <c:h val="0.1090908946517842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800" b="1" i="0" u="none" strike="noStrike" baseline="0">
                <a:solidFill>
                  <a:srgbClr val="000000"/>
                </a:solidFill>
                <a:latin typeface="Calibri"/>
              </a:rPr>
              <a:t>Sirius Solar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800" b="1" i="0" u="none" strike="noStrike" baseline="0">
                <a:solidFill>
                  <a:srgbClr val="000000"/>
                </a:solidFill>
                <a:latin typeface="Calibri"/>
              </a:rPr>
              <a:t>Pumps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'Summary Data'!$B$5</c:f>
              <c:strCache>
                <c:ptCount val="1"/>
                <c:pt idx="0">
                  <c:v>12V-Single Head COMET</c:v>
                </c:pt>
              </c:strCache>
            </c:strRef>
          </c:tx>
          <c:marker>
            <c:spPr>
              <a:solidFill>
                <a:srgbClr val="C00000"/>
              </a:solidFill>
            </c:spPr>
          </c:marker>
          <c:xVal>
            <c:numRef>
              <c:f>'Summary Data'!$A$6:$A$21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Data'!$B$6:$B$21</c:f>
              <c:numCache>
                <c:formatCode>General</c:formatCode>
                <c:ptCount val="16"/>
                <c:pt idx="0">
                  <c:v>424.28571428571428</c:v>
                </c:pt>
                <c:pt idx="1">
                  <c:v>377.14285714285717</c:v>
                </c:pt>
                <c:pt idx="2">
                  <c:v>360</c:v>
                </c:pt>
                <c:pt idx="3">
                  <c:v>355.71428571428572</c:v>
                </c:pt>
                <c:pt idx="4">
                  <c:v>347.14285714285717</c:v>
                </c:pt>
                <c:pt idx="5">
                  <c:v>342.85714285714283</c:v>
                </c:pt>
                <c:pt idx="6">
                  <c:v>334.28571428571428</c:v>
                </c:pt>
                <c:pt idx="7">
                  <c:v>325.71428571428572</c:v>
                </c:pt>
                <c:pt idx="8">
                  <c:v>317.14285714285717</c:v>
                </c:pt>
                <c:pt idx="9">
                  <c:v>310.71428571428572</c:v>
                </c:pt>
                <c:pt idx="10">
                  <c:v>300</c:v>
                </c:pt>
                <c:pt idx="11">
                  <c:v>297.85714285714283</c:v>
                </c:pt>
                <c:pt idx="12">
                  <c:v>282.85714285714283</c:v>
                </c:pt>
                <c:pt idx="13">
                  <c:v>278.57142857142856</c:v>
                </c:pt>
                <c:pt idx="14">
                  <c:v>278.57142857142856</c:v>
                </c:pt>
                <c:pt idx="15">
                  <c:v>278.57142857142856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EE-496E-BD7D-ED839A305A1C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12V-Single Head-HP-COMET</c:v>
                </c:pt>
              </c:strCache>
            </c:strRef>
          </c:tx>
          <c:marker>
            <c:spPr>
              <a:solidFill>
                <a:schemeClr val="accent6"/>
              </a:solidFill>
            </c:spPr>
          </c:marker>
          <c:xVal>
            <c:numRef>
              <c:f>'Summary Data'!$C$6:$C$25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Data'!$D$6:$D$25</c:f>
              <c:numCache>
                <c:formatCode>General</c:formatCode>
                <c:ptCount val="20"/>
                <c:pt idx="0">
                  <c:v>312.50000000000006</c:v>
                </c:pt>
                <c:pt idx="1">
                  <c:v>291.26213592233006</c:v>
                </c:pt>
                <c:pt idx="2">
                  <c:v>273.97260273972603</c:v>
                </c:pt>
                <c:pt idx="3">
                  <c:v>270.27027027027026</c:v>
                </c:pt>
                <c:pt idx="4">
                  <c:v>259.74025974025972</c:v>
                </c:pt>
                <c:pt idx="5">
                  <c:v>250.00000000000003</c:v>
                </c:pt>
                <c:pt idx="6">
                  <c:v>241.93548387096774</c:v>
                </c:pt>
                <c:pt idx="7">
                  <c:v>230.76923076923077</c:v>
                </c:pt>
                <c:pt idx="8">
                  <c:v>219.78021978021977</c:v>
                </c:pt>
                <c:pt idx="9">
                  <c:v>212.76595744680853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EE-496E-BD7D-ED839A305A1C}"/>
            </c:ext>
          </c:extLst>
        </c:ser>
        <c:ser>
          <c:idx val="2"/>
          <c:order val="2"/>
          <c:tx>
            <c:strRef>
              <c:f>'Summary Data'!$F$5</c:f>
              <c:strCache>
                <c:ptCount val="1"/>
              </c:strCache>
            </c:strRef>
          </c:tx>
          <c:marker>
            <c:spPr>
              <a:solidFill>
                <a:srgbClr val="00B050"/>
              </a:solidFill>
            </c:spPr>
          </c:marker>
          <c:xVal>
            <c:numRef>
              <c:f>'Summary Data'!$E$6:$E$16</c:f>
              <c:numCache>
                <c:formatCode>General</c:formatCode>
                <c:ptCount val="11"/>
              </c:numCache>
            </c:numRef>
          </c:xVal>
          <c:yVal>
            <c:numRef>
              <c:f>'Summary Data'!$F$6:$F$16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EE-496E-BD7D-ED839A305A1C}"/>
            </c:ext>
          </c:extLst>
        </c:ser>
        <c:ser>
          <c:idx val="3"/>
          <c:order val="3"/>
          <c:tx>
            <c:strRef>
              <c:f>'Summary Data'!$H$5</c:f>
              <c:strCache>
                <c:ptCount val="1"/>
              </c:strCache>
            </c:strRef>
          </c:tx>
          <c:xVal>
            <c:numRef>
              <c:f>'Summary Data'!$G$6:$G$16</c:f>
              <c:numCache>
                <c:formatCode>General</c:formatCode>
                <c:ptCount val="11"/>
              </c:numCache>
            </c:numRef>
          </c:xVal>
          <c:yVal>
            <c:numRef>
              <c:f>'Summary Data'!$H$6:$H$16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EE-496E-BD7D-ED839A305A1C}"/>
            </c:ext>
          </c:extLst>
        </c:ser>
        <c:ser>
          <c:idx val="4"/>
          <c:order val="4"/>
          <c:tx>
            <c:strRef>
              <c:f>'Summary Data'!$B$42</c:f>
              <c:strCache>
                <c:ptCount val="1"/>
                <c:pt idx="0">
                  <c:v>12V-Dual Head COMET</c:v>
                </c:pt>
              </c:strCache>
            </c:strRef>
          </c:tx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'Summary Data'!$A$43:$A$58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Data'!$B$43:$B$58</c:f>
              <c:numCache>
                <c:formatCode>General</c:formatCode>
                <c:ptCount val="16"/>
                <c:pt idx="0">
                  <c:v>891.42857142857144</c:v>
                </c:pt>
                <c:pt idx="1">
                  <c:v>745.71428571428567</c:v>
                </c:pt>
                <c:pt idx="2">
                  <c:v>694.28571428571433</c:v>
                </c:pt>
                <c:pt idx="3">
                  <c:v>660</c:v>
                </c:pt>
                <c:pt idx="4">
                  <c:v>617.14285714285711</c:v>
                </c:pt>
                <c:pt idx="5">
                  <c:v>608.57142857142856</c:v>
                </c:pt>
                <c:pt idx="6">
                  <c:v>600</c:v>
                </c:pt>
                <c:pt idx="7">
                  <c:v>574.28571428571433</c:v>
                </c:pt>
                <c:pt idx="8">
                  <c:v>548.57142857142856</c:v>
                </c:pt>
                <c:pt idx="9">
                  <c:v>531.42857142857144</c:v>
                </c:pt>
                <c:pt idx="10">
                  <c:v>514.28571428571433</c:v>
                </c:pt>
                <c:pt idx="11">
                  <c:v>505.71428571428572</c:v>
                </c:pt>
                <c:pt idx="12">
                  <c:v>488.57142857142856</c:v>
                </c:pt>
                <c:pt idx="13">
                  <c:v>467.14285714285717</c:v>
                </c:pt>
                <c:pt idx="14">
                  <c:v>450</c:v>
                </c:pt>
                <c:pt idx="15">
                  <c:v>428.57142857142856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AEE-496E-BD7D-ED839A305A1C}"/>
            </c:ext>
          </c:extLst>
        </c:ser>
        <c:ser>
          <c:idx val="5"/>
          <c:order val="5"/>
          <c:tx>
            <c:strRef>
              <c:f>'Summary Data'!$D$42</c:f>
              <c:strCache>
                <c:ptCount val="1"/>
                <c:pt idx="0">
                  <c:v>12V-Dual Head-HP-COMET</c:v>
                </c:pt>
              </c:strCache>
            </c:strRef>
          </c:tx>
          <c:xVal>
            <c:numRef>
              <c:f>'Summary Data'!$C$43:$C$62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Data'!$D$43:$D$62</c:f>
              <c:numCache>
                <c:formatCode>General</c:formatCode>
                <c:ptCount val="20"/>
                <c:pt idx="0">
                  <c:v>588.23529411764707</c:v>
                </c:pt>
                <c:pt idx="1">
                  <c:v>517.24137931034488</c:v>
                </c:pt>
                <c:pt idx="2">
                  <c:v>495.86776859504135</c:v>
                </c:pt>
                <c:pt idx="3">
                  <c:v>458.01526717557255</c:v>
                </c:pt>
                <c:pt idx="4">
                  <c:v>428.57142857142861</c:v>
                </c:pt>
                <c:pt idx="5">
                  <c:v>384.61538461538464</c:v>
                </c:pt>
                <c:pt idx="6">
                  <c:v>350.87719298245611</c:v>
                </c:pt>
                <c:pt idx="7">
                  <c:v>319.14893617021278</c:v>
                </c:pt>
                <c:pt idx="8">
                  <c:v>295.56650246305418</c:v>
                </c:pt>
                <c:pt idx="9">
                  <c:v>277.77777777777777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AEE-496E-BD7D-ED839A305A1C}"/>
            </c:ext>
          </c:extLst>
        </c:ser>
        <c:ser>
          <c:idx val="6"/>
          <c:order val="6"/>
          <c:tx>
            <c:strRef>
              <c:f>'Summary Data'!$F$42</c:f>
              <c:strCache>
                <c:ptCount val="1"/>
                <c:pt idx="0">
                  <c:v>12V-Dual Head High Vol COMET </c:v>
                </c:pt>
              </c:strCache>
            </c:strRef>
          </c:tx>
          <c:marker>
            <c:symbol val="circle"/>
            <c:size val="7"/>
            <c:spPr>
              <a:solidFill>
                <a:srgbClr val="00B050"/>
              </a:solidFill>
            </c:spPr>
          </c:marker>
          <c:xVal>
            <c:numRef>
              <c:f>'Summary Data'!$E$43:$E$53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'Summary Data'!$F$43:$F$53</c:f>
              <c:numCache>
                <c:formatCode>General</c:formatCode>
                <c:ptCount val="11"/>
                <c:pt idx="0">
                  <c:v>1700</c:v>
                </c:pt>
                <c:pt idx="1">
                  <c:v>1680</c:v>
                </c:pt>
                <c:pt idx="2">
                  <c:v>1600</c:v>
                </c:pt>
                <c:pt idx="3">
                  <c:v>1520</c:v>
                </c:pt>
                <c:pt idx="4">
                  <c:v>1480</c:v>
                </c:pt>
                <c:pt idx="5">
                  <c:v>1470</c:v>
                </c:pt>
                <c:pt idx="6">
                  <c:v>1440</c:v>
                </c:pt>
                <c:pt idx="7">
                  <c:v>1420</c:v>
                </c:pt>
                <c:pt idx="8">
                  <c:v>1400</c:v>
                </c:pt>
                <c:pt idx="9">
                  <c:v>1380</c:v>
                </c:pt>
                <c:pt idx="10">
                  <c:v>1360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AEE-496E-BD7D-ED839A305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996808"/>
        <c:axId val="1"/>
      </c:scatterChart>
      <c:valAx>
        <c:axId val="461996808"/>
        <c:scaling>
          <c:orientation val="minMax"/>
          <c:max val="5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Pressure psi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Volume L/Day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996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817380519742726"/>
          <c:y val="0.41666670637425995"/>
          <c:w val="0.25082506994318021"/>
          <c:h val="0.2545455267410786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800" b="1" i="0" u="none" strike="noStrike" baseline="0">
                <a:solidFill>
                  <a:srgbClr val="000000"/>
                </a:solidFill>
                <a:latin typeface="Calibri"/>
              </a:rPr>
              <a:t>Sirius Solar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800" b="1" i="0" u="none" strike="noStrike" baseline="0">
                <a:solidFill>
                  <a:srgbClr val="000000"/>
                </a:solidFill>
                <a:latin typeface="Calibri"/>
              </a:rPr>
              <a:t>Pumps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'Summary Data'!$B$5</c:f>
              <c:strCache>
                <c:ptCount val="1"/>
                <c:pt idx="0">
                  <c:v>12V-Single Head COMET</c:v>
                </c:pt>
              </c:strCache>
            </c:strRef>
          </c:tx>
          <c:marker>
            <c:spPr>
              <a:solidFill>
                <a:srgbClr val="C00000"/>
              </a:solidFill>
            </c:spPr>
          </c:marker>
          <c:xVal>
            <c:numRef>
              <c:f>'Summary Data'!$A$6:$A$21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Data'!$B$6:$B$21</c:f>
              <c:numCache>
                <c:formatCode>General</c:formatCode>
                <c:ptCount val="16"/>
                <c:pt idx="0">
                  <c:v>424.28571428571428</c:v>
                </c:pt>
                <c:pt idx="1">
                  <c:v>377.14285714285717</c:v>
                </c:pt>
                <c:pt idx="2">
                  <c:v>360</c:v>
                </c:pt>
                <c:pt idx="3">
                  <c:v>355.71428571428572</c:v>
                </c:pt>
                <c:pt idx="4">
                  <c:v>347.14285714285717</c:v>
                </c:pt>
                <c:pt idx="5">
                  <c:v>342.85714285714283</c:v>
                </c:pt>
                <c:pt idx="6">
                  <c:v>334.28571428571428</c:v>
                </c:pt>
                <c:pt idx="7">
                  <c:v>325.71428571428572</c:v>
                </c:pt>
                <c:pt idx="8">
                  <c:v>317.14285714285717</c:v>
                </c:pt>
                <c:pt idx="9">
                  <c:v>310.71428571428572</c:v>
                </c:pt>
                <c:pt idx="10">
                  <c:v>300</c:v>
                </c:pt>
                <c:pt idx="11">
                  <c:v>297.85714285714283</c:v>
                </c:pt>
                <c:pt idx="12">
                  <c:v>282.85714285714283</c:v>
                </c:pt>
                <c:pt idx="13">
                  <c:v>278.57142857142856</c:v>
                </c:pt>
                <c:pt idx="14">
                  <c:v>278.57142857142856</c:v>
                </c:pt>
                <c:pt idx="15">
                  <c:v>278.57142857142856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86-4BD6-A2B5-015FDF99ED2C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12V-Single Head-HP-COMET</c:v>
                </c:pt>
              </c:strCache>
            </c:strRef>
          </c:tx>
          <c:marker>
            <c:spPr>
              <a:solidFill>
                <a:schemeClr val="accent6"/>
              </a:solidFill>
            </c:spPr>
          </c:marker>
          <c:xVal>
            <c:numRef>
              <c:f>'Summary Data'!$C$6:$C$25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Data'!$D$6:$D$25</c:f>
              <c:numCache>
                <c:formatCode>General</c:formatCode>
                <c:ptCount val="20"/>
                <c:pt idx="0">
                  <c:v>312.50000000000006</c:v>
                </c:pt>
                <c:pt idx="1">
                  <c:v>291.26213592233006</c:v>
                </c:pt>
                <c:pt idx="2">
                  <c:v>273.97260273972603</c:v>
                </c:pt>
                <c:pt idx="3">
                  <c:v>270.27027027027026</c:v>
                </c:pt>
                <c:pt idx="4">
                  <c:v>259.74025974025972</c:v>
                </c:pt>
                <c:pt idx="5">
                  <c:v>250.00000000000003</c:v>
                </c:pt>
                <c:pt idx="6">
                  <c:v>241.93548387096774</c:v>
                </c:pt>
                <c:pt idx="7">
                  <c:v>230.76923076923077</c:v>
                </c:pt>
                <c:pt idx="8">
                  <c:v>219.78021978021977</c:v>
                </c:pt>
                <c:pt idx="9">
                  <c:v>212.76595744680853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86-4BD6-A2B5-015FDF99ED2C}"/>
            </c:ext>
          </c:extLst>
        </c:ser>
        <c:ser>
          <c:idx val="2"/>
          <c:order val="2"/>
          <c:tx>
            <c:strRef>
              <c:f>'Summary Data'!$F$5</c:f>
              <c:strCache>
                <c:ptCount val="1"/>
              </c:strCache>
            </c:strRef>
          </c:tx>
          <c:marker>
            <c:spPr>
              <a:solidFill>
                <a:srgbClr val="00B050"/>
              </a:solidFill>
            </c:spPr>
          </c:marker>
          <c:xVal>
            <c:numRef>
              <c:f>'Summary Data'!$E$6:$E$16</c:f>
              <c:numCache>
                <c:formatCode>General</c:formatCode>
                <c:ptCount val="11"/>
              </c:numCache>
            </c:numRef>
          </c:xVal>
          <c:yVal>
            <c:numRef>
              <c:f>'Summary Data'!$F$6:$F$16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86-4BD6-A2B5-015FDF99ED2C}"/>
            </c:ext>
          </c:extLst>
        </c:ser>
        <c:ser>
          <c:idx val="3"/>
          <c:order val="3"/>
          <c:tx>
            <c:strRef>
              <c:f>'Summary Data'!$H$5</c:f>
              <c:strCache>
                <c:ptCount val="1"/>
              </c:strCache>
            </c:strRef>
          </c:tx>
          <c:xVal>
            <c:numRef>
              <c:f>'Summary Data'!$G$6:$G$16</c:f>
              <c:numCache>
                <c:formatCode>General</c:formatCode>
                <c:ptCount val="11"/>
              </c:numCache>
            </c:numRef>
          </c:xVal>
          <c:yVal>
            <c:numRef>
              <c:f>'Summary Data'!$H$6:$H$16</c:f>
              <c:numCache>
                <c:formatCode>General</c:formatCode>
                <c:ptCount val="1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86-4BD6-A2B5-015FDF99ED2C}"/>
            </c:ext>
          </c:extLst>
        </c:ser>
        <c:ser>
          <c:idx val="4"/>
          <c:order val="4"/>
          <c:tx>
            <c:strRef>
              <c:f>'Summary Data'!$B$42</c:f>
              <c:strCache>
                <c:ptCount val="1"/>
                <c:pt idx="0">
                  <c:v>12V-Dual Head COMET</c:v>
                </c:pt>
              </c:strCache>
            </c:strRef>
          </c:tx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'Summary Data'!$A$43:$A$58</c:f>
              <c:numCache>
                <c:formatCode>General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'Summary Data'!$B$43:$B$58</c:f>
              <c:numCache>
                <c:formatCode>General</c:formatCode>
                <c:ptCount val="16"/>
                <c:pt idx="0">
                  <c:v>891.42857142857144</c:v>
                </c:pt>
                <c:pt idx="1">
                  <c:v>745.71428571428567</c:v>
                </c:pt>
                <c:pt idx="2">
                  <c:v>694.28571428571433</c:v>
                </c:pt>
                <c:pt idx="3">
                  <c:v>660</c:v>
                </c:pt>
                <c:pt idx="4">
                  <c:v>617.14285714285711</c:v>
                </c:pt>
                <c:pt idx="5">
                  <c:v>608.57142857142856</c:v>
                </c:pt>
                <c:pt idx="6">
                  <c:v>600</c:v>
                </c:pt>
                <c:pt idx="7">
                  <c:v>574.28571428571433</c:v>
                </c:pt>
                <c:pt idx="8">
                  <c:v>548.57142857142856</c:v>
                </c:pt>
                <c:pt idx="9">
                  <c:v>531.42857142857144</c:v>
                </c:pt>
                <c:pt idx="10">
                  <c:v>514.28571428571433</c:v>
                </c:pt>
                <c:pt idx="11">
                  <c:v>505.71428571428572</c:v>
                </c:pt>
                <c:pt idx="12">
                  <c:v>488.57142857142856</c:v>
                </c:pt>
                <c:pt idx="13">
                  <c:v>467.14285714285717</c:v>
                </c:pt>
                <c:pt idx="14">
                  <c:v>450</c:v>
                </c:pt>
                <c:pt idx="15">
                  <c:v>428.57142857142856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86-4BD6-A2B5-015FDF99ED2C}"/>
            </c:ext>
          </c:extLst>
        </c:ser>
        <c:ser>
          <c:idx val="5"/>
          <c:order val="5"/>
          <c:tx>
            <c:strRef>
              <c:f>'Summary Data'!$D$42</c:f>
              <c:strCache>
                <c:ptCount val="1"/>
                <c:pt idx="0">
                  <c:v>12V-Dual Head-HP-COMET</c:v>
                </c:pt>
              </c:strCache>
            </c:strRef>
          </c:tx>
          <c:xVal>
            <c:numRef>
              <c:f>'Summary Data'!$C$43:$C$62</c:f>
              <c:numCache>
                <c:formatCode>General</c:formatCode>
                <c:ptCount val="2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4350</c:v>
                </c:pt>
              </c:numCache>
            </c:numRef>
          </c:xVal>
          <c:yVal>
            <c:numRef>
              <c:f>'Summary Data'!$D$43:$D$62</c:f>
              <c:numCache>
                <c:formatCode>General</c:formatCode>
                <c:ptCount val="20"/>
                <c:pt idx="0">
                  <c:v>588.23529411764707</c:v>
                </c:pt>
                <c:pt idx="1">
                  <c:v>517.24137931034488</c:v>
                </c:pt>
                <c:pt idx="2">
                  <c:v>495.86776859504135</c:v>
                </c:pt>
                <c:pt idx="3">
                  <c:v>458.01526717557255</c:v>
                </c:pt>
                <c:pt idx="4">
                  <c:v>428.57142857142861</c:v>
                </c:pt>
                <c:pt idx="5">
                  <c:v>384.61538461538464</c:v>
                </c:pt>
                <c:pt idx="6">
                  <c:v>350.87719298245611</c:v>
                </c:pt>
                <c:pt idx="7">
                  <c:v>319.14893617021278</c:v>
                </c:pt>
                <c:pt idx="8">
                  <c:v>295.56650246305418</c:v>
                </c:pt>
                <c:pt idx="9">
                  <c:v>277.77777777777777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986-4BD6-A2B5-015FDF99ED2C}"/>
            </c:ext>
          </c:extLst>
        </c:ser>
        <c:ser>
          <c:idx val="6"/>
          <c:order val="6"/>
          <c:tx>
            <c:strRef>
              <c:f>'Summary Data'!$F$42</c:f>
              <c:strCache>
                <c:ptCount val="1"/>
                <c:pt idx="0">
                  <c:v>12V-Dual Head High Vol COMET </c:v>
                </c:pt>
              </c:strCache>
            </c:strRef>
          </c:tx>
          <c:marker>
            <c:symbol val="circle"/>
            <c:size val="7"/>
            <c:spPr>
              <a:solidFill>
                <a:srgbClr val="00B050"/>
              </a:solidFill>
            </c:spPr>
          </c:marker>
          <c:xVal>
            <c:numRef>
              <c:f>'Summary Data'!$E$43:$E$53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'Summary Data'!$F$43:$F$53</c:f>
              <c:numCache>
                <c:formatCode>General</c:formatCode>
                <c:ptCount val="11"/>
                <c:pt idx="0">
                  <c:v>1700</c:v>
                </c:pt>
                <c:pt idx="1">
                  <c:v>1680</c:v>
                </c:pt>
                <c:pt idx="2">
                  <c:v>1600</c:v>
                </c:pt>
                <c:pt idx="3">
                  <c:v>1520</c:v>
                </c:pt>
                <c:pt idx="4">
                  <c:v>1480</c:v>
                </c:pt>
                <c:pt idx="5">
                  <c:v>1470</c:v>
                </c:pt>
                <c:pt idx="6">
                  <c:v>1440</c:v>
                </c:pt>
                <c:pt idx="7">
                  <c:v>1420</c:v>
                </c:pt>
                <c:pt idx="8">
                  <c:v>1400</c:v>
                </c:pt>
                <c:pt idx="9">
                  <c:v>1380</c:v>
                </c:pt>
                <c:pt idx="10">
                  <c:v>1360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986-4BD6-A2B5-015FDF99E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48416"/>
        <c:axId val="1"/>
      </c:scatterChart>
      <c:valAx>
        <c:axId val="461748416"/>
        <c:scaling>
          <c:orientation val="minMax"/>
          <c:max val="5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Pressure psi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/>
                  <a:t>Volume L/Day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1748416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817380519742726"/>
          <c:y val="0.41666670637425995"/>
          <c:w val="0.25082506994318021"/>
          <c:h val="0.2545455267410786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5"/>
  <sheetViews>
    <sheetView zoomScale="8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0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180975</xdr:rowOff>
    </xdr:from>
    <xdr:to>
      <xdr:col>2</xdr:col>
      <xdr:colOff>2476500</xdr:colOff>
      <xdr:row>1</xdr:row>
      <xdr:rowOff>1409700</xdr:rowOff>
    </xdr:to>
    <xdr:pic>
      <xdr:nvPicPr>
        <xdr:cNvPr id="27317" name="Picture 59" descr="SiriusLogo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42900"/>
          <a:ext cx="21145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49</xdr:col>
      <xdr:colOff>96157</xdr:colOff>
      <xdr:row>17</xdr:row>
      <xdr:rowOff>128815</xdr:rowOff>
    </xdr:from>
    <xdr:to>
      <xdr:col>53</xdr:col>
      <xdr:colOff>168275</xdr:colOff>
      <xdr:row>19</xdr:row>
      <xdr:rowOff>88900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979289B-1C41-4989-B005-839CCA35F196}"/>
            </a:ext>
            <a:ext uri="{147F2762-F138-4A5C-976F-8EAC2B608ADB}">
              <a16:predDERef xmlns:a16="http://schemas.microsoft.com/office/drawing/2014/main" pred="{00000000-0008-0000-0000-0000B56A0000}"/>
            </a:ext>
          </a:extLst>
        </xdr:cNvPr>
        <xdr:cNvSpPr/>
      </xdr:nvSpPr>
      <xdr:spPr>
        <a:xfrm>
          <a:off x="25480282" y="4303940"/>
          <a:ext cx="2421618" cy="29346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redc.nrel.gov/solar/pubs/redbook/" TargetMode="External"/><Relationship Id="rId2" Type="http://schemas.openxmlformats.org/officeDocument/2006/relationships/hyperlink" Target="http://198.103.48.154/fichier.php/codectec/Fr/2006-046/2006-046_OP-J_411-SOLRES_PV+map.pdf" TargetMode="External"/><Relationship Id="rId1" Type="http://schemas.openxmlformats.org/officeDocument/2006/relationships/hyperlink" Target="https://glfc.cfsnet.nfis.org/mapserver/pv/municip.php?n=720&amp;NEK=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v.nrcan.gc.ca/index.php?n=720&amp;m=u&amp;lang=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Z102"/>
  <sheetViews>
    <sheetView showGridLines="0" tabSelected="1" zoomScale="60" zoomScaleNormal="60" zoomScaleSheetLayoutView="100" workbookViewId="0">
      <selection activeCell="C44" sqref="C44"/>
    </sheetView>
  </sheetViews>
  <sheetFormatPr defaultColWidth="8.85546875" defaultRowHeight="12.75" x14ac:dyDescent="0.2"/>
  <cols>
    <col min="1" max="1" width="2.85546875" style="4" customWidth="1"/>
    <col min="2" max="2" width="2.28515625" style="4" customWidth="1"/>
    <col min="3" max="3" width="44.85546875" style="4" customWidth="1"/>
    <col min="4" max="4" width="8.85546875" style="4"/>
    <col min="5" max="5" width="2.42578125" style="4" customWidth="1"/>
    <col min="6" max="6" width="25.28515625" style="4" customWidth="1"/>
    <col min="7" max="7" width="1.7109375" style="4" customWidth="1"/>
    <col min="8" max="8" width="3.28515625" style="4" customWidth="1"/>
    <col min="9" max="9" width="8.85546875" style="4" customWidth="1"/>
    <col min="10" max="10" width="8.85546875" style="4" hidden="1" customWidth="1"/>
    <col min="11" max="11" width="22.42578125" style="4" hidden="1" customWidth="1"/>
    <col min="12" max="12" width="27.7109375" style="4" hidden="1" customWidth="1"/>
    <col min="13" max="13" width="8.85546875" style="4" hidden="1" customWidth="1"/>
    <col min="14" max="14" width="20.85546875" style="4" hidden="1" customWidth="1"/>
    <col min="15" max="15" width="14.140625" style="4" hidden="1" customWidth="1"/>
    <col min="16" max="16" width="16.28515625" style="4" hidden="1" customWidth="1"/>
    <col min="17" max="17" width="8.85546875" style="4" hidden="1" customWidth="1"/>
    <col min="18" max="18" width="16.7109375" style="4" hidden="1" customWidth="1"/>
    <col min="19" max="19" width="8.85546875" style="4" hidden="1" customWidth="1"/>
    <col min="20" max="20" width="8.140625" style="4" hidden="1" customWidth="1"/>
    <col min="21" max="21" width="28.7109375" style="4" customWidth="1"/>
    <col min="22" max="22" width="10" style="4" customWidth="1"/>
    <col min="23" max="23" width="9.85546875" style="4" customWidth="1"/>
    <col min="24" max="24" width="11.5703125" style="4" customWidth="1"/>
    <col min="25" max="31" width="8.85546875" style="4" customWidth="1"/>
    <col min="32" max="16384" width="8.85546875" style="4"/>
  </cols>
  <sheetData>
    <row r="1" spans="1:18" x14ac:dyDescent="0.2">
      <c r="A1" s="7" t="s">
        <v>0</v>
      </c>
      <c r="B1" s="7"/>
      <c r="C1" s="7"/>
      <c r="D1" s="7"/>
      <c r="E1" s="7"/>
      <c r="F1" s="7"/>
      <c r="G1" s="7"/>
      <c r="H1" s="7"/>
    </row>
    <row r="2" spans="1:18" ht="123" customHeight="1" x14ac:dyDescent="0.2">
      <c r="A2" s="7"/>
      <c r="F2" s="8" t="s">
        <v>1</v>
      </c>
      <c r="H2" s="7"/>
    </row>
    <row r="3" spans="1:18" ht="20.25" x14ac:dyDescent="0.3">
      <c r="A3" s="7"/>
      <c r="B3" s="67"/>
      <c r="C3" s="68" t="s">
        <v>2</v>
      </c>
      <c r="D3" s="67"/>
      <c r="E3" s="67"/>
      <c r="F3" s="67"/>
      <c r="G3" s="67"/>
      <c r="H3" s="7"/>
      <c r="O3" s="4" t="s">
        <v>3</v>
      </c>
      <c r="P3" s="93" t="s">
        <v>4</v>
      </c>
    </row>
    <row r="4" spans="1:18" ht="10.5" customHeight="1" x14ac:dyDescent="0.2">
      <c r="A4" s="7"/>
      <c r="C4" s="9"/>
      <c r="D4" s="10"/>
      <c r="E4" s="10"/>
      <c r="F4" s="10"/>
      <c r="G4" s="10"/>
      <c r="H4" s="11"/>
      <c r="O4" s="4" t="s">
        <v>3</v>
      </c>
      <c r="P4" s="93" t="s">
        <v>5</v>
      </c>
    </row>
    <row r="5" spans="1:18" x14ac:dyDescent="0.2">
      <c r="A5" s="7"/>
      <c r="C5" s="69" t="s">
        <v>6</v>
      </c>
      <c r="F5" s="44" t="s">
        <v>7</v>
      </c>
      <c r="H5" s="7"/>
      <c r="O5" s="98" t="s">
        <v>8</v>
      </c>
      <c r="P5" s="98" t="s">
        <v>9</v>
      </c>
    </row>
    <row r="6" spans="1:18" ht="13.5" thickBot="1" x14ac:dyDescent="0.25">
      <c r="A6" s="7"/>
      <c r="C6" s="5"/>
      <c r="F6" s="98"/>
      <c r="H6" s="7"/>
      <c r="K6" s="70" t="s">
        <v>10</v>
      </c>
      <c r="O6" s="73" t="s">
        <v>11</v>
      </c>
    </row>
    <row r="7" spans="1:18" ht="13.5" thickBot="1" x14ac:dyDescent="0.25">
      <c r="A7" s="7"/>
      <c r="C7" s="46" t="s">
        <v>12</v>
      </c>
      <c r="D7" s="23"/>
      <c r="E7" s="23"/>
      <c r="F7" s="99"/>
      <c r="H7" s="7"/>
      <c r="K7" s="70">
        <f>D10*M24</f>
        <v>50</v>
      </c>
      <c r="O7" s="98" t="s">
        <v>13</v>
      </c>
      <c r="P7" s="98" t="s">
        <v>14</v>
      </c>
    </row>
    <row r="8" spans="1:18" ht="13.5" thickBot="1" x14ac:dyDescent="0.25">
      <c r="A8" s="7"/>
      <c r="C8" s="100" t="s">
        <v>15</v>
      </c>
      <c r="D8" s="1">
        <v>1500</v>
      </c>
      <c r="E8" s="16"/>
      <c r="F8" s="17" t="s">
        <v>16</v>
      </c>
      <c r="H8" s="7"/>
      <c r="O8" s="73" t="s">
        <v>17</v>
      </c>
    </row>
    <row r="9" spans="1:18" ht="13.5" thickBot="1" x14ac:dyDescent="0.25">
      <c r="A9" s="7"/>
      <c r="C9" s="100" t="s">
        <v>18</v>
      </c>
      <c r="D9" s="48">
        <f>Pavg*6.895</f>
        <v>10342.5</v>
      </c>
      <c r="E9" s="16"/>
      <c r="F9" s="17" t="s">
        <v>19</v>
      </c>
      <c r="H9" s="7"/>
    </row>
    <row r="10" spans="1:18" ht="13.5" thickBot="1" x14ac:dyDescent="0.25">
      <c r="A10" s="7"/>
      <c r="C10" s="18" t="s">
        <v>20</v>
      </c>
      <c r="D10" s="49">
        <v>50</v>
      </c>
      <c r="E10" s="16"/>
      <c r="F10" s="91" t="s">
        <v>21</v>
      </c>
      <c r="H10" s="7"/>
      <c r="L10" s="70"/>
      <c r="M10" s="101" t="s">
        <v>22</v>
      </c>
      <c r="N10" s="101" t="s">
        <v>22</v>
      </c>
      <c r="O10" s="101"/>
      <c r="P10" s="101"/>
      <c r="Q10" s="101"/>
    </row>
    <row r="11" spans="1:18" ht="13.5" thickBot="1" x14ac:dyDescent="0.25">
      <c r="A11" s="7"/>
      <c r="C11" s="100" t="s">
        <v>23</v>
      </c>
      <c r="D11" s="155" t="s">
        <v>229</v>
      </c>
      <c r="E11" s="156"/>
      <c r="F11" s="157"/>
      <c r="H11" s="7"/>
      <c r="L11" s="101" t="s">
        <v>25</v>
      </c>
      <c r="M11" s="101" t="s">
        <v>26</v>
      </c>
      <c r="N11" s="101" t="s">
        <v>27</v>
      </c>
      <c r="O11" s="101" t="s">
        <v>28</v>
      </c>
      <c r="P11" s="101" t="s">
        <v>29</v>
      </c>
      <c r="Q11" s="101" t="s">
        <v>30</v>
      </c>
    </row>
    <row r="12" spans="1:18" ht="13.5" thickBot="1" x14ac:dyDescent="0.25">
      <c r="A12" s="7"/>
      <c r="C12" s="100" t="s">
        <v>31</v>
      </c>
      <c r="D12" s="88" t="s">
        <v>32</v>
      </c>
      <c r="E12" s="90"/>
      <c r="F12" s="87"/>
      <c r="H12" s="7"/>
      <c r="L12" s="101"/>
      <c r="M12" s="101"/>
      <c r="N12" s="101"/>
      <c r="O12" s="101"/>
      <c r="P12" s="101"/>
      <c r="Q12" s="101"/>
    </row>
    <row r="13" spans="1:18" ht="13.9" customHeight="1" thickBot="1" x14ac:dyDescent="0.25">
      <c r="A13" s="7"/>
      <c r="C13" s="45" t="s">
        <v>33</v>
      </c>
      <c r="D13" s="50">
        <v>60</v>
      </c>
      <c r="E13" s="16"/>
      <c r="F13" s="17" t="s">
        <v>34</v>
      </c>
      <c r="H13" s="7"/>
      <c r="L13" s="70" t="str">
        <f>D11</f>
        <v>24V-Single Head COMET</v>
      </c>
      <c r="M13" s="70">
        <f ca="1">VLOOKUP($L$13,CalData!$V$3:$AA$20,4,FALSE)</f>
        <v>321.42857142857144</v>
      </c>
      <c r="N13" s="70">
        <f ca="1">VLOOKUP($L$13,CalData!$V$3:$AA$20,5,FALSE)</f>
        <v>3.1</v>
      </c>
      <c r="O13" s="84">
        <f ca="1">VLOOKUP($L$13,CalData!$V$3:$AA$20,6,FALSE)</f>
        <v>32</v>
      </c>
      <c r="P13" s="70">
        <f ca="1">IF(O13=16,12,24)</f>
        <v>24</v>
      </c>
      <c r="Q13" s="70">
        <f ca="1">VLOOKUP($L$13,CalData!$V$3:$AB$20,7,FALSE)</f>
        <v>3000</v>
      </c>
    </row>
    <row r="14" spans="1:18" ht="13.15" hidden="1" customHeight="1" thickBot="1" x14ac:dyDescent="0.25">
      <c r="A14" s="7"/>
      <c r="C14" s="18" t="s">
        <v>35</v>
      </c>
      <c r="D14" s="12">
        <v>1</v>
      </c>
      <c r="E14" s="16"/>
      <c r="F14" s="17"/>
      <c r="H14" s="7"/>
    </row>
    <row r="15" spans="1:18" ht="13.5" thickBot="1" x14ac:dyDescent="0.25">
      <c r="A15" s="7"/>
      <c r="C15" s="18" t="s">
        <v>36</v>
      </c>
      <c r="D15" s="92">
        <v>100</v>
      </c>
      <c r="E15" s="16"/>
      <c r="F15" s="17" t="s">
        <v>37</v>
      </c>
      <c r="H15" s="7"/>
      <c r="J15" s="53"/>
      <c r="K15" s="53"/>
      <c r="L15" s="53"/>
    </row>
    <row r="16" spans="1:18" ht="13.5" thickBot="1" x14ac:dyDescent="0.25">
      <c r="A16" s="7"/>
      <c r="C16" s="100" t="s">
        <v>38</v>
      </c>
      <c r="D16" s="102" t="s">
        <v>39</v>
      </c>
      <c r="E16" s="16"/>
      <c r="F16" s="17"/>
      <c r="H16" s="7"/>
      <c r="J16" s="53"/>
      <c r="K16" s="53"/>
      <c r="L16" s="53"/>
      <c r="P16" s="98" t="s">
        <v>40</v>
      </c>
      <c r="Q16" s="4">
        <v>21.4</v>
      </c>
      <c r="R16" s="98" t="s">
        <v>41</v>
      </c>
    </row>
    <row r="17" spans="1:26" ht="13.5" thickBot="1" x14ac:dyDescent="0.25">
      <c r="A17" s="7"/>
      <c r="C17" s="100" t="s">
        <v>42</v>
      </c>
      <c r="D17" s="49">
        <v>7</v>
      </c>
      <c r="E17" s="16"/>
      <c r="F17" s="17" t="s">
        <v>43</v>
      </c>
      <c r="H17" s="7"/>
      <c r="J17" s="53"/>
      <c r="K17" s="53"/>
      <c r="L17" s="53"/>
      <c r="P17" s="98" t="s">
        <v>44</v>
      </c>
      <c r="Q17" s="4">
        <v>138</v>
      </c>
      <c r="R17" s="103" t="s">
        <v>45</v>
      </c>
    </row>
    <row r="18" spans="1:26" x14ac:dyDescent="0.2">
      <c r="A18" s="7"/>
      <c r="C18" s="100" t="s">
        <v>46</v>
      </c>
      <c r="D18" s="158" t="str">
        <f ca="1">CONCATENATE(IF(t.On&lt;1,"Low Duty Cycle / Low Flow Rate",""),IF(Duty&gt;0.5,"High Duty Cycle / High Flow Rate",""))</f>
        <v/>
      </c>
      <c r="E18" s="159"/>
      <c r="F18" s="160"/>
      <c r="H18" s="7"/>
      <c r="J18" s="53"/>
      <c r="K18" s="53"/>
      <c r="L18" s="53"/>
      <c r="Q18" s="4">
        <f>Q16/3.6</f>
        <v>5.9444444444444438</v>
      </c>
      <c r="R18" s="103" t="s">
        <v>47</v>
      </c>
    </row>
    <row r="19" spans="1:26" ht="13.5" thickBot="1" x14ac:dyDescent="0.25">
      <c r="A19" s="7"/>
      <c r="C19" s="19"/>
      <c r="D19" s="54" t="str">
        <f ca="1">IF(Duty&gt;1,"Rate-High","")</f>
        <v/>
      </c>
      <c r="E19" s="51"/>
      <c r="F19" s="83" t="str">
        <f ca="1">IF(Pavg&gt;Q13,"Over MAX PRESSURE","")</f>
        <v/>
      </c>
      <c r="H19" s="7"/>
      <c r="J19" s="53"/>
      <c r="K19" s="53"/>
      <c r="L19" s="103" t="s">
        <v>48</v>
      </c>
      <c r="M19" s="53"/>
      <c r="N19" s="53"/>
      <c r="O19" s="53"/>
      <c r="P19" s="53"/>
      <c r="Q19" s="53">
        <f>Q17/31</f>
        <v>4.4516129032258061</v>
      </c>
      <c r="R19" s="98" t="s">
        <v>49</v>
      </c>
    </row>
    <row r="20" spans="1:26" x14ac:dyDescent="0.2">
      <c r="A20" s="7"/>
      <c r="H20" s="7"/>
      <c r="J20" s="53"/>
      <c r="K20" s="53"/>
      <c r="L20" s="53">
        <f>VLOOKUP(D12,N26:O27,2,FALSE)</f>
        <v>0</v>
      </c>
      <c r="N20" s="53"/>
      <c r="O20" s="53"/>
      <c r="P20" s="53"/>
      <c r="Q20" s="4">
        <f>Q18/Q19</f>
        <v>1.3353462157809983</v>
      </c>
    </row>
    <row r="21" spans="1:26" ht="13.5" thickBot="1" x14ac:dyDescent="0.25">
      <c r="A21" s="7"/>
      <c r="C21" s="21" t="s">
        <v>50</v>
      </c>
      <c r="H21" s="7"/>
      <c r="J21" s="53"/>
      <c r="K21" s="53"/>
      <c r="L21" s="53"/>
      <c r="N21" s="53"/>
      <c r="O21" s="53"/>
      <c r="P21" s="53"/>
      <c r="Q21" s="4">
        <f>1/Q20</f>
        <v>0.7488694603557432</v>
      </c>
      <c r="R21" s="81" t="s">
        <v>51</v>
      </c>
    </row>
    <row r="22" spans="1:26" x14ac:dyDescent="0.2">
      <c r="A22" s="7"/>
      <c r="C22" s="22" t="s">
        <v>52</v>
      </c>
      <c r="D22" s="23"/>
      <c r="E22" s="23"/>
      <c r="F22" s="13"/>
      <c r="H22" s="7"/>
      <c r="J22" s="53"/>
      <c r="K22" s="53"/>
      <c r="L22" s="53"/>
      <c r="U22" s="147" t="s">
        <v>53</v>
      </c>
      <c r="V22" s="148"/>
      <c r="W22" s="148"/>
      <c r="X22" s="149"/>
    </row>
    <row r="23" spans="1:26" ht="16.5" customHeight="1" thickBot="1" x14ac:dyDescent="0.3">
      <c r="A23" s="7"/>
      <c r="C23" s="104" t="s">
        <v>54</v>
      </c>
      <c r="D23" s="25">
        <f ca="1">M13</f>
        <v>321.42857142857144</v>
      </c>
      <c r="E23" s="25"/>
      <c r="F23" s="17" t="str">
        <f>F10</f>
        <v>L/day</v>
      </c>
      <c r="H23" s="7"/>
      <c r="J23" s="53"/>
      <c r="K23" s="53"/>
      <c r="L23" s="53"/>
      <c r="U23" s="150"/>
      <c r="V23" s="151"/>
      <c r="W23" s="151"/>
      <c r="X23" s="152"/>
      <c r="Y23" s="143"/>
      <c r="Z23" s="143"/>
    </row>
    <row r="24" spans="1:26" ht="24" thickBot="1" x14ac:dyDescent="0.4">
      <c r="A24" s="7"/>
      <c r="C24" s="24" t="s">
        <v>55</v>
      </c>
      <c r="D24" s="26">
        <f ca="1">Q/Q.Pavg</f>
        <v>0.15555555555555556</v>
      </c>
      <c r="E24" s="27"/>
      <c r="F24" s="17"/>
      <c r="H24" s="7"/>
      <c r="J24" s="53"/>
      <c r="K24" s="53"/>
      <c r="L24" s="84" t="s">
        <v>56</v>
      </c>
      <c r="M24" s="70">
        <f>VLOOKUP(F10,L27:M30,2,FALSE)</f>
        <v>1</v>
      </c>
      <c r="N24" s="101" t="s">
        <v>57</v>
      </c>
      <c r="O24" s="101" t="s">
        <v>58</v>
      </c>
      <c r="U24" s="139" t="s">
        <v>59</v>
      </c>
      <c r="V24" s="97" t="s">
        <v>21</v>
      </c>
      <c r="W24" s="142" t="s">
        <v>60</v>
      </c>
      <c r="X24" s="97" t="s">
        <v>61</v>
      </c>
    </row>
    <row r="25" spans="1:26" ht="8.65" hidden="1" customHeight="1" x14ac:dyDescent="0.35">
      <c r="A25" s="7"/>
      <c r="C25" s="14"/>
      <c r="D25" s="15"/>
      <c r="E25" s="16"/>
      <c r="F25" s="17"/>
      <c r="H25" s="7"/>
      <c r="J25" s="53"/>
      <c r="K25" s="53"/>
      <c r="L25" s="84"/>
      <c r="M25" s="70"/>
      <c r="N25" s="70"/>
      <c r="O25" s="70"/>
      <c r="U25" s="139"/>
      <c r="V25" s="97"/>
      <c r="W25" s="142"/>
      <c r="X25" s="97"/>
    </row>
    <row r="26" spans="1:26" ht="24" thickBot="1" x14ac:dyDescent="0.4">
      <c r="A26" s="7"/>
      <c r="C26" s="28" t="s">
        <v>62</v>
      </c>
      <c r="D26" s="15"/>
      <c r="E26" s="16"/>
      <c r="F26" s="17"/>
      <c r="H26" s="7"/>
      <c r="J26" s="53"/>
      <c r="K26" s="53"/>
      <c r="L26" s="84" t="s">
        <v>63</v>
      </c>
      <c r="M26" s="70" t="s">
        <v>64</v>
      </c>
      <c r="N26" s="70" t="s">
        <v>65</v>
      </c>
      <c r="O26" s="89">
        <f ca="1">10/12/V.Panel*16</f>
        <v>0.41666666666666669</v>
      </c>
      <c r="U26" s="140">
        <v>1</v>
      </c>
      <c r="V26" s="144">
        <f ca="1">Q.Pavg</f>
        <v>321.42857142857144</v>
      </c>
      <c r="W26" s="131">
        <f t="shared" ref="W26:W33" ca="1" si="0">V26*1.05</f>
        <v>337.50000000000006</v>
      </c>
      <c r="X26" s="131">
        <f t="shared" ref="X26:X33" ca="1" si="1">V26/3.89</f>
        <v>82.6294528094014</v>
      </c>
    </row>
    <row r="27" spans="1:26" ht="24" thickBot="1" x14ac:dyDescent="0.4">
      <c r="A27" s="7"/>
      <c r="C27" s="100" t="s">
        <v>66</v>
      </c>
      <c r="D27" s="31">
        <f ca="1">O13</f>
        <v>32</v>
      </c>
      <c r="E27" s="16"/>
      <c r="F27" s="17" t="s">
        <v>67</v>
      </c>
      <c r="H27" s="7"/>
      <c r="J27" s="53"/>
      <c r="K27" s="53"/>
      <c r="L27" s="84" t="s">
        <v>21</v>
      </c>
      <c r="M27" s="70">
        <v>1</v>
      </c>
      <c r="N27" s="70" t="s">
        <v>32</v>
      </c>
      <c r="O27" s="70">
        <v>0</v>
      </c>
      <c r="U27" s="140">
        <v>2</v>
      </c>
      <c r="V27" s="145">
        <f ca="1">((60-(U27*2.5))/60*$V$26)/U27</f>
        <v>147.32142857142858</v>
      </c>
      <c r="W27" s="131">
        <f t="shared" ca="1" si="0"/>
        <v>154.68750000000003</v>
      </c>
      <c r="X27" s="131">
        <f t="shared" ca="1" si="1"/>
        <v>37.871832537642305</v>
      </c>
    </row>
    <row r="28" spans="1:26" ht="23.25" x14ac:dyDescent="0.35">
      <c r="A28" s="7"/>
      <c r="C28" s="104" t="s">
        <v>68</v>
      </c>
      <c r="D28" s="2">
        <f ca="1">N13+L20</f>
        <v>3.1</v>
      </c>
      <c r="E28" s="3"/>
      <c r="F28" s="17" t="s">
        <v>69</v>
      </c>
      <c r="H28" s="7"/>
      <c r="J28" s="53"/>
      <c r="K28" s="53"/>
      <c r="L28" s="84" t="s">
        <v>70</v>
      </c>
      <c r="M28" s="70">
        <v>0.94635199999999997</v>
      </c>
      <c r="U28" s="140">
        <v>3</v>
      </c>
      <c r="V28" s="145">
        <f t="shared" ref="V28:V41" ca="1" si="2">((60-(U28*2.5))/60*$V$26)/U28</f>
        <v>93.75</v>
      </c>
      <c r="W28" s="131">
        <f t="shared" ca="1" si="0"/>
        <v>98.4375</v>
      </c>
      <c r="X28" s="131">
        <f t="shared" ca="1" si="1"/>
        <v>24.100257069408741</v>
      </c>
    </row>
    <row r="29" spans="1:26" ht="23.25" x14ac:dyDescent="0.35">
      <c r="A29" s="7"/>
      <c r="C29" s="24" t="s">
        <v>71</v>
      </c>
      <c r="D29" s="29">
        <f ca="1">I.Pavg*Duty</f>
        <v>0.48222222222222222</v>
      </c>
      <c r="E29" s="30"/>
      <c r="F29" s="17" t="s">
        <v>69</v>
      </c>
      <c r="H29" s="7"/>
      <c r="J29" s="53"/>
      <c r="K29" s="53"/>
      <c r="L29" s="84" t="s">
        <v>72</v>
      </c>
      <c r="M29" s="70">
        <v>3.7854117999999999</v>
      </c>
      <c r="U29" s="140">
        <v>4</v>
      </c>
      <c r="V29" s="145">
        <f t="shared" ca="1" si="2"/>
        <v>66.964285714285722</v>
      </c>
      <c r="W29" s="131">
        <f t="shared" ca="1" si="0"/>
        <v>70.312500000000014</v>
      </c>
      <c r="X29" s="131">
        <f t="shared" ca="1" si="1"/>
        <v>17.214469335291959</v>
      </c>
    </row>
    <row r="30" spans="1:26" ht="24" thickBot="1" x14ac:dyDescent="0.4">
      <c r="A30" s="7"/>
      <c r="C30" s="104" t="s">
        <v>73</v>
      </c>
      <c r="D30" s="29">
        <v>0.03</v>
      </c>
      <c r="E30" s="30"/>
      <c r="F30" s="17" t="s">
        <v>69</v>
      </c>
      <c r="H30" s="7"/>
      <c r="J30" s="53"/>
      <c r="K30" s="53"/>
      <c r="L30" s="53"/>
      <c r="U30" s="140">
        <v>5</v>
      </c>
      <c r="V30" s="145">
        <f t="shared" ca="1" si="2"/>
        <v>50.892857142857146</v>
      </c>
      <c r="W30" s="131">
        <f t="shared" ca="1" si="0"/>
        <v>53.437500000000007</v>
      </c>
      <c r="X30" s="131">
        <f t="shared" ca="1" si="1"/>
        <v>13.082996694821889</v>
      </c>
    </row>
    <row r="31" spans="1:26" ht="24" thickBot="1" x14ac:dyDescent="0.4">
      <c r="A31" s="7"/>
      <c r="C31" s="24" t="s">
        <v>74</v>
      </c>
      <c r="D31" s="85">
        <f ca="1">(I.Avg+I.Standby)*24</f>
        <v>12.293333333333333</v>
      </c>
      <c r="E31" s="32"/>
      <c r="F31" s="17" t="s">
        <v>37</v>
      </c>
      <c r="H31" s="7"/>
      <c r="J31" s="53"/>
      <c r="K31" s="53"/>
      <c r="L31" s="53"/>
      <c r="U31" s="140">
        <v>6</v>
      </c>
      <c r="V31" s="145">
        <f t="shared" ca="1" si="2"/>
        <v>40.178571428571431</v>
      </c>
      <c r="W31" s="131">
        <f t="shared" ca="1" si="0"/>
        <v>42.187500000000007</v>
      </c>
      <c r="X31" s="131">
        <f t="shared" ca="1" si="1"/>
        <v>10.328681601175175</v>
      </c>
    </row>
    <row r="32" spans="1:26" ht="23.25" x14ac:dyDescent="0.35">
      <c r="A32" s="7"/>
      <c r="C32" s="24" t="s">
        <v>75</v>
      </c>
      <c r="D32" s="33">
        <f ca="1">Pwr.Day*D17</f>
        <v>86.053333333333327</v>
      </c>
      <c r="E32" s="34"/>
      <c r="F32" s="17" t="s">
        <v>37</v>
      </c>
      <c r="H32" s="7"/>
      <c r="U32" s="140">
        <v>7</v>
      </c>
      <c r="V32" s="145">
        <f t="shared" ca="1" si="2"/>
        <v>32.525510204081634</v>
      </c>
      <c r="W32" s="131">
        <f t="shared" ca="1" si="0"/>
        <v>34.151785714285715</v>
      </c>
      <c r="X32" s="131">
        <f t="shared" ca="1" si="1"/>
        <v>8.3613136771418084</v>
      </c>
    </row>
    <row r="33" spans="1:24" ht="24" thickBot="1" x14ac:dyDescent="0.4">
      <c r="A33" s="7"/>
      <c r="C33" s="24" t="s">
        <v>76</v>
      </c>
      <c r="D33" s="15">
        <f>IF(D16="-40C",0.5,IF(D16="-30C",0.6,IF(D16="-20C",0.7,IF(D16="-10C",0.8,0.9))))</f>
        <v>0.9</v>
      </c>
      <c r="E33" s="15"/>
      <c r="F33" s="17"/>
      <c r="H33" s="7"/>
      <c r="U33" s="140">
        <v>8</v>
      </c>
      <c r="V33" s="145">
        <f t="shared" ca="1" si="2"/>
        <v>26.785714285714285</v>
      </c>
      <c r="W33" s="131">
        <f t="shared" ca="1" si="0"/>
        <v>28.125</v>
      </c>
      <c r="X33" s="131">
        <f t="shared" ca="1" si="1"/>
        <v>6.8857877341167821</v>
      </c>
    </row>
    <row r="34" spans="1:24" ht="20.45" hidden="1" customHeight="1" thickBot="1" x14ac:dyDescent="0.4">
      <c r="A34" s="7"/>
      <c r="C34" s="104" t="s">
        <v>77</v>
      </c>
      <c r="D34" s="15">
        <v>1</v>
      </c>
      <c r="E34" s="15"/>
      <c r="F34" s="17"/>
      <c r="H34" s="7"/>
      <c r="U34" s="146"/>
      <c r="V34" s="145"/>
      <c r="W34" s="131"/>
      <c r="X34" s="131"/>
    </row>
    <row r="35" spans="1:24" ht="19.149999999999999" customHeight="1" thickBot="1" x14ac:dyDescent="0.4">
      <c r="A35" s="7"/>
      <c r="C35" s="104" t="s">
        <v>78</v>
      </c>
      <c r="D35" s="31">
        <f ca="1">Pwr.10.Day/(F.temp*F.disch)</f>
        <v>95.614814814814807</v>
      </c>
      <c r="E35" s="25"/>
      <c r="F35" s="17" t="s">
        <v>37</v>
      </c>
      <c r="H35" s="7"/>
      <c r="L35" s="98" t="s">
        <v>79</v>
      </c>
      <c r="U35" s="141">
        <v>9</v>
      </c>
      <c r="V35" s="145">
        <f t="shared" ca="1" si="2"/>
        <v>22.321428571428573</v>
      </c>
      <c r="W35" s="131">
        <f t="shared" ref="W35:W41" ca="1" si="3">V35*1.05</f>
        <v>23.437500000000004</v>
      </c>
      <c r="X35" s="131">
        <f t="shared" ref="X35:X41" ca="1" si="4">V35/3.89</f>
        <v>5.738156445097319</v>
      </c>
    </row>
    <row r="36" spans="1:24" ht="24" thickBot="1" x14ac:dyDescent="0.4">
      <c r="A36" s="7"/>
      <c r="C36" s="104" t="s">
        <v>80</v>
      </c>
      <c r="D36" s="47">
        <f ca="1">CEILING(Bat.Cap.Req/Bat.Cap,1)*V.Panel/16</f>
        <v>2</v>
      </c>
      <c r="E36" s="25"/>
      <c r="F36" s="17"/>
      <c r="H36" s="7"/>
      <c r="L36" s="98" t="s">
        <v>81</v>
      </c>
      <c r="U36" s="141">
        <v>10</v>
      </c>
      <c r="V36" s="145">
        <f t="shared" ca="1" si="2"/>
        <v>18.750000000000004</v>
      </c>
      <c r="W36" s="131">
        <f t="shared" ca="1" si="3"/>
        <v>19.687500000000004</v>
      </c>
      <c r="X36" s="131">
        <f t="shared" ca="1" si="4"/>
        <v>4.8200514138817487</v>
      </c>
    </row>
    <row r="37" spans="1:24" ht="24" thickBot="1" x14ac:dyDescent="0.4">
      <c r="A37" s="7"/>
      <c r="C37" s="104" t="s">
        <v>82</v>
      </c>
      <c r="D37" s="26">
        <f ca="1">(D36*16/V.Panel*Bat.Cap-Bat.Cap.Req)/Bat.Cap.Req</f>
        <v>4.586303067864899E-2</v>
      </c>
      <c r="E37" s="25"/>
      <c r="F37" s="17"/>
      <c r="H37" s="7"/>
      <c r="L37" s="98" t="s">
        <v>83</v>
      </c>
      <c r="M37" s="105">
        <v>0.75</v>
      </c>
      <c r="N37" s="73" t="s">
        <v>84</v>
      </c>
      <c r="U37" s="141">
        <v>11</v>
      </c>
      <c r="V37" s="145">
        <f t="shared" ca="1" si="2"/>
        <v>15.827922077922079</v>
      </c>
      <c r="W37" s="131">
        <f t="shared" ca="1" si="3"/>
        <v>16.619318181818183</v>
      </c>
      <c r="X37" s="131">
        <f t="shared" ca="1" si="4"/>
        <v>4.0688745701599176</v>
      </c>
    </row>
    <row r="38" spans="1:24" ht="24" thickBot="1" x14ac:dyDescent="0.4">
      <c r="A38" s="7"/>
      <c r="C38" s="104" t="s">
        <v>85</v>
      </c>
      <c r="D38" s="31">
        <f ca="1">D36*Bat.Cap/Bat.Cap.Req*D17*16/V.Panel</f>
        <v>7.3210412147505428</v>
      </c>
      <c r="E38" s="25"/>
      <c r="F38" s="106" t="s">
        <v>86</v>
      </c>
      <c r="H38" s="7"/>
      <c r="L38" s="73" t="s">
        <v>87</v>
      </c>
      <c r="U38" s="141">
        <v>12</v>
      </c>
      <c r="V38" s="145">
        <f t="shared" ca="1" si="2"/>
        <v>13.392857142857144</v>
      </c>
      <c r="W38" s="131">
        <f t="shared" ca="1" si="3"/>
        <v>14.062500000000002</v>
      </c>
      <c r="X38" s="131">
        <f t="shared" ca="1" si="4"/>
        <v>3.4428938670583915</v>
      </c>
    </row>
    <row r="39" spans="1:24" ht="24" thickBot="1" x14ac:dyDescent="0.4">
      <c r="A39" s="7"/>
      <c r="C39" s="35"/>
      <c r="D39" s="36"/>
      <c r="E39" s="36"/>
      <c r="F39" s="20"/>
      <c r="H39" s="7"/>
      <c r="U39" s="141">
        <v>13</v>
      </c>
      <c r="V39" s="145">
        <f t="shared" ca="1" si="2"/>
        <v>11.332417582417584</v>
      </c>
      <c r="W39" s="131">
        <f t="shared" ca="1" si="3"/>
        <v>11.899038461538463</v>
      </c>
      <c r="X39" s="131">
        <f t="shared" ca="1" si="4"/>
        <v>2.9132178875109469</v>
      </c>
    </row>
    <row r="40" spans="1:24" ht="23.25" x14ac:dyDescent="0.35">
      <c r="A40" s="7"/>
      <c r="C40" s="37"/>
      <c r="G40" s="38"/>
      <c r="H40" s="7"/>
      <c r="J40" s="4">
        <f>D51</f>
        <v>508.44444444444446</v>
      </c>
      <c r="M40" s="161" t="s">
        <v>88</v>
      </c>
      <c r="N40" s="162"/>
      <c r="O40" s="163" t="s">
        <v>89</v>
      </c>
      <c r="P40" s="164"/>
      <c r="Q40" s="101" t="s">
        <v>90</v>
      </c>
      <c r="R40" s="70" t="s">
        <v>91</v>
      </c>
      <c r="S40" s="70" t="s">
        <v>91</v>
      </c>
      <c r="U40" s="141">
        <v>14</v>
      </c>
      <c r="V40" s="145">
        <f t="shared" ca="1" si="2"/>
        <v>9.5663265306122458</v>
      </c>
      <c r="W40" s="131">
        <f t="shared" ca="1" si="3"/>
        <v>10.044642857142858</v>
      </c>
      <c r="X40" s="131">
        <f t="shared" ca="1" si="4"/>
        <v>2.4592099050417082</v>
      </c>
    </row>
    <row r="41" spans="1:24" ht="24" thickBot="1" x14ac:dyDescent="0.4">
      <c r="A41" s="7"/>
      <c r="C41" s="5" t="s">
        <v>92</v>
      </c>
      <c r="H41" s="7"/>
      <c r="J41" s="74">
        <f ca="1">D48</f>
        <v>295.03999999999996</v>
      </c>
      <c r="K41" s="98" t="s">
        <v>93</v>
      </c>
      <c r="L41" s="70" t="s">
        <v>90</v>
      </c>
      <c r="M41" s="77" t="s">
        <v>94</v>
      </c>
      <c r="N41" s="77" t="s">
        <v>95</v>
      </c>
      <c r="O41" s="72" t="s">
        <v>94</v>
      </c>
      <c r="P41" s="72" t="s">
        <v>96</v>
      </c>
      <c r="Q41" s="70" t="s">
        <v>97</v>
      </c>
      <c r="R41" s="71" t="s">
        <v>98</v>
      </c>
      <c r="S41" s="70" t="s">
        <v>98</v>
      </c>
      <c r="U41" s="141">
        <v>15</v>
      </c>
      <c r="V41" s="145">
        <f t="shared" ca="1" si="2"/>
        <v>8.0357142857142865</v>
      </c>
      <c r="W41" s="131">
        <f t="shared" ca="1" si="3"/>
        <v>8.4375000000000018</v>
      </c>
      <c r="X41" s="131">
        <f t="shared" ca="1" si="4"/>
        <v>2.0657363202350352</v>
      </c>
    </row>
    <row r="42" spans="1:24" x14ac:dyDescent="0.2">
      <c r="A42" s="7"/>
      <c r="C42" s="40"/>
      <c r="D42" s="23"/>
      <c r="E42" s="23"/>
      <c r="F42" s="13"/>
      <c r="H42" s="7"/>
      <c r="J42" s="4">
        <f ca="1">J40/J41</f>
        <v>1.7233068209207041</v>
      </c>
      <c r="K42" s="4" t="str">
        <f t="shared" ref="K42:K80" si="5">RIGHT(L42,LEN(L42)-4)</f>
        <v>Athabasca</v>
      </c>
      <c r="L42" s="101" t="s">
        <v>99</v>
      </c>
      <c r="M42" s="77">
        <v>58</v>
      </c>
      <c r="N42" s="77">
        <v>58</v>
      </c>
      <c r="O42" s="72">
        <v>72</v>
      </c>
      <c r="P42" s="72">
        <v>101</v>
      </c>
      <c r="Q42" s="70">
        <v>54.7</v>
      </c>
      <c r="R42" s="70">
        <f t="shared" ref="R42:R85" si="6">Q42+15</f>
        <v>69.7</v>
      </c>
      <c r="S42" s="70">
        <f>ROUND(2*R42,-1)/2</f>
        <v>70</v>
      </c>
    </row>
    <row r="43" spans="1:24" ht="13.5" thickBot="1" x14ac:dyDescent="0.25">
      <c r="A43" s="7"/>
      <c r="C43" s="41" t="s">
        <v>100</v>
      </c>
      <c r="D43" s="153" t="s">
        <v>101</v>
      </c>
      <c r="E43" s="153"/>
      <c r="F43" s="154"/>
      <c r="H43" s="7"/>
      <c r="K43" s="4" t="str">
        <f t="shared" si="5"/>
        <v>Bonnyville</v>
      </c>
      <c r="L43" s="101" t="s">
        <v>102</v>
      </c>
      <c r="M43" s="77">
        <v>61</v>
      </c>
      <c r="N43" s="77">
        <v>61</v>
      </c>
      <c r="O43" s="72">
        <v>71</v>
      </c>
      <c r="P43" s="72">
        <v>101</v>
      </c>
      <c r="Q43" s="70">
        <v>54.3</v>
      </c>
      <c r="R43" s="70">
        <f t="shared" si="6"/>
        <v>69.3</v>
      </c>
      <c r="S43" s="70">
        <f t="shared" ref="S43:S86" si="7">ROUND(2*R43,-1)/2</f>
        <v>70</v>
      </c>
    </row>
    <row r="44" spans="1:24" ht="13.5" thickBot="1" x14ac:dyDescent="0.25">
      <c r="A44" s="7"/>
      <c r="C44" s="107" t="s">
        <v>162</v>
      </c>
      <c r="D44" s="108">
        <f>VLOOKUP(C44,L42:R86,2,FALSE)/30</f>
        <v>4</v>
      </c>
      <c r="E44" s="15"/>
      <c r="F44" s="109" t="s">
        <v>104</v>
      </c>
      <c r="H44" s="7"/>
      <c r="K44" s="4" t="str">
        <f t="shared" si="5"/>
        <v>Brooks</v>
      </c>
      <c r="L44" s="101" t="s">
        <v>105</v>
      </c>
      <c r="M44" s="77">
        <v>74</v>
      </c>
      <c r="N44" s="77">
        <v>75</v>
      </c>
      <c r="O44" s="72">
        <v>71</v>
      </c>
      <c r="P44" s="72">
        <v>110</v>
      </c>
      <c r="Q44" s="70">
        <v>50.6</v>
      </c>
      <c r="R44" s="70">
        <f t="shared" si="6"/>
        <v>65.599999999999994</v>
      </c>
      <c r="S44" s="70">
        <f t="shared" si="7"/>
        <v>65</v>
      </c>
    </row>
    <row r="45" spans="1:24" ht="13.5" thickBot="1" x14ac:dyDescent="0.25">
      <c r="A45" s="7"/>
      <c r="C45" s="110" t="s">
        <v>106</v>
      </c>
      <c r="D45" s="76">
        <f>VLOOKUP(C44,L42:R86,3,FALSE)/30</f>
        <v>4.4000000000000004</v>
      </c>
      <c r="E45" s="15"/>
      <c r="F45" s="109" t="s">
        <v>107</v>
      </c>
      <c r="H45" s="7"/>
      <c r="J45" s="4">
        <f>IF(D46&lt;48.9,D45,D44)</f>
        <v>4.4000000000000004</v>
      </c>
      <c r="K45" s="4" t="str">
        <f t="shared" si="5"/>
        <v>Calgary</v>
      </c>
      <c r="L45" s="101" t="s">
        <v>108</v>
      </c>
      <c r="M45" s="77">
        <v>71</v>
      </c>
      <c r="N45" s="77">
        <v>71</v>
      </c>
      <c r="O45" s="72">
        <v>69</v>
      </c>
      <c r="P45" s="72">
        <v>105</v>
      </c>
      <c r="Q45" s="70">
        <v>51</v>
      </c>
      <c r="R45" s="70">
        <f t="shared" si="6"/>
        <v>66</v>
      </c>
      <c r="S45" s="70">
        <f t="shared" si="7"/>
        <v>65</v>
      </c>
    </row>
    <row r="46" spans="1:24" ht="13.5" thickBot="1" x14ac:dyDescent="0.25">
      <c r="A46" s="7"/>
      <c r="C46" s="110" t="s">
        <v>109</v>
      </c>
      <c r="D46" s="146">
        <f>VLOOKUP(C44,L42:R86,6,FALSE)</f>
        <v>32.799999999999997</v>
      </c>
      <c r="E46" s="15"/>
      <c r="F46" s="109" t="s">
        <v>110</v>
      </c>
      <c r="H46" s="7"/>
      <c r="K46" s="4" t="str">
        <f t="shared" si="5"/>
        <v>Dawson Creek</v>
      </c>
      <c r="L46" s="101" t="s">
        <v>111</v>
      </c>
      <c r="M46" s="77">
        <v>56</v>
      </c>
      <c r="N46" s="77">
        <v>56</v>
      </c>
      <c r="O46" s="72">
        <v>76</v>
      </c>
      <c r="P46" s="72">
        <v>103</v>
      </c>
      <c r="Q46" s="70">
        <v>55.7</v>
      </c>
      <c r="R46" s="70">
        <f t="shared" si="6"/>
        <v>70.7</v>
      </c>
      <c r="S46" s="70">
        <f t="shared" si="7"/>
        <v>70</v>
      </c>
    </row>
    <row r="47" spans="1:24" ht="13.5" thickBot="1" x14ac:dyDescent="0.25">
      <c r="A47" s="7"/>
      <c r="C47" s="111" t="s">
        <v>112</v>
      </c>
      <c r="D47" s="76">
        <f>VLOOKUP(C44,L42:R86,7,FALSE)</f>
        <v>47.8</v>
      </c>
      <c r="E47" s="15"/>
      <c r="F47" s="109" t="s">
        <v>113</v>
      </c>
      <c r="H47" s="7"/>
      <c r="K47" s="4" t="str">
        <f t="shared" si="5"/>
        <v>Drayton Valley</v>
      </c>
      <c r="L47" s="101" t="s">
        <v>114</v>
      </c>
      <c r="M47" s="77">
        <v>56</v>
      </c>
      <c r="N47" s="77">
        <v>56</v>
      </c>
      <c r="O47" s="72">
        <v>70</v>
      </c>
      <c r="P47" s="72">
        <v>100</v>
      </c>
      <c r="Q47" s="70">
        <v>53.2</v>
      </c>
      <c r="R47" s="70">
        <f t="shared" si="6"/>
        <v>68.2</v>
      </c>
      <c r="S47" s="70">
        <f t="shared" si="7"/>
        <v>70</v>
      </c>
    </row>
    <row r="48" spans="1:24" x14ac:dyDescent="0.2">
      <c r="A48" s="7"/>
      <c r="C48" s="111" t="s">
        <v>115</v>
      </c>
      <c r="D48" s="86">
        <f ca="1">Pwr.Day*P13</f>
        <v>295.03999999999996</v>
      </c>
      <c r="E48" s="25"/>
      <c r="F48" s="112" t="s">
        <v>116</v>
      </c>
      <c r="H48" s="7"/>
      <c r="K48" s="4" t="str">
        <f t="shared" si="5"/>
        <v>Drumheller</v>
      </c>
      <c r="L48" s="101" t="s">
        <v>117</v>
      </c>
      <c r="M48" s="77">
        <v>74</v>
      </c>
      <c r="N48" s="77">
        <v>74</v>
      </c>
      <c r="O48" s="72">
        <v>72</v>
      </c>
      <c r="P48" s="72">
        <v>108</v>
      </c>
      <c r="Q48" s="70">
        <v>51.4</v>
      </c>
      <c r="R48" s="70">
        <f t="shared" si="6"/>
        <v>66.400000000000006</v>
      </c>
      <c r="S48" s="70">
        <f t="shared" si="7"/>
        <v>65</v>
      </c>
    </row>
    <row r="49" spans="1:19" ht="13.5" thickBot="1" x14ac:dyDescent="0.25">
      <c r="A49" s="7"/>
      <c r="C49" s="111"/>
      <c r="D49" s="42"/>
      <c r="E49" s="25"/>
      <c r="F49" s="112"/>
      <c r="H49" s="7"/>
      <c r="K49" s="4" t="str">
        <f t="shared" si="5"/>
        <v>Edmonton</v>
      </c>
      <c r="L49" s="101" t="s">
        <v>118</v>
      </c>
      <c r="M49" s="77">
        <v>63</v>
      </c>
      <c r="N49" s="77">
        <v>63</v>
      </c>
      <c r="O49" s="72">
        <v>72</v>
      </c>
      <c r="P49" s="72">
        <v>103</v>
      </c>
      <c r="Q49" s="70">
        <v>53.6</v>
      </c>
      <c r="R49" s="70">
        <f t="shared" si="6"/>
        <v>68.599999999999994</v>
      </c>
      <c r="S49" s="70">
        <f t="shared" si="7"/>
        <v>70</v>
      </c>
    </row>
    <row r="50" spans="1:19" ht="13.5" thickBot="1" x14ac:dyDescent="0.25">
      <c r="A50" s="7"/>
      <c r="C50" s="111" t="s">
        <v>119</v>
      </c>
      <c r="D50" s="52">
        <v>160</v>
      </c>
      <c r="E50" s="25"/>
      <c r="F50" s="112" t="s">
        <v>120</v>
      </c>
      <c r="H50" s="7"/>
      <c r="K50" s="4" t="str">
        <f t="shared" si="5"/>
        <v>Edson</v>
      </c>
      <c r="L50" s="101" t="s">
        <v>121</v>
      </c>
      <c r="M50" s="77">
        <v>53</v>
      </c>
      <c r="N50" s="77">
        <v>53</v>
      </c>
      <c r="O50" s="72">
        <v>70</v>
      </c>
      <c r="P50" s="72">
        <v>100</v>
      </c>
      <c r="Q50" s="70">
        <v>53.6</v>
      </c>
      <c r="R50" s="70">
        <f t="shared" si="6"/>
        <v>68.599999999999994</v>
      </c>
      <c r="S50" s="70">
        <f t="shared" si="7"/>
        <v>70</v>
      </c>
    </row>
    <row r="51" spans="1:19" ht="13.5" thickBot="1" x14ac:dyDescent="0.25">
      <c r="A51" s="7"/>
      <c r="C51" s="110" t="s">
        <v>122</v>
      </c>
      <c r="D51" s="15">
        <f>D50*J45*13/18</f>
        <v>508.44444444444446</v>
      </c>
      <c r="E51" s="15"/>
      <c r="F51" s="106" t="s">
        <v>116</v>
      </c>
      <c r="H51" s="7"/>
      <c r="K51" s="4" t="str">
        <f t="shared" si="5"/>
        <v>Estevan</v>
      </c>
      <c r="L51" s="101" t="s">
        <v>123</v>
      </c>
      <c r="M51" s="113">
        <f>82</f>
        <v>82</v>
      </c>
      <c r="N51" s="77">
        <v>83</v>
      </c>
      <c r="O51" s="72">
        <v>68</v>
      </c>
      <c r="P51" s="72">
        <v>108</v>
      </c>
      <c r="Q51" s="70">
        <v>49.1</v>
      </c>
      <c r="R51" s="70">
        <f t="shared" si="6"/>
        <v>64.099999999999994</v>
      </c>
      <c r="S51" s="70">
        <f t="shared" si="7"/>
        <v>65</v>
      </c>
    </row>
    <row r="52" spans="1:19" ht="13.5" thickBot="1" x14ac:dyDescent="0.25">
      <c r="A52" s="7"/>
      <c r="C52" s="111" t="s">
        <v>124</v>
      </c>
      <c r="D52" s="47">
        <f ca="1">IF(V.Panel=32,EVEN(D48/D51), CEILING(D48/D51,1))</f>
        <v>2</v>
      </c>
      <c r="E52" s="25"/>
      <c r="F52" s="114" t="s">
        <v>125</v>
      </c>
      <c r="H52" s="7"/>
      <c r="K52" s="4" t="str">
        <f t="shared" si="5"/>
        <v>Fort McMurray</v>
      </c>
      <c r="L52" s="101" t="s">
        <v>126</v>
      </c>
      <c r="M52" s="77">
        <v>54</v>
      </c>
      <c r="N52" s="77">
        <v>53</v>
      </c>
      <c r="O52" s="72">
        <v>73</v>
      </c>
      <c r="P52" s="72">
        <v>99</v>
      </c>
      <c r="Q52" s="70">
        <v>56.7</v>
      </c>
      <c r="R52" s="70">
        <f t="shared" si="6"/>
        <v>71.7</v>
      </c>
      <c r="S52" s="70">
        <f t="shared" si="7"/>
        <v>70</v>
      </c>
    </row>
    <row r="53" spans="1:19" x14ac:dyDescent="0.2">
      <c r="A53" s="7"/>
      <c r="C53" s="110" t="s">
        <v>127</v>
      </c>
      <c r="D53" s="15">
        <f ca="1">D51*D52</f>
        <v>1016.8888888888889</v>
      </c>
      <c r="E53" s="15"/>
      <c r="F53" s="106" t="s">
        <v>116</v>
      </c>
      <c r="H53" s="7"/>
      <c r="K53" s="4" t="str">
        <f t="shared" si="5"/>
        <v>Ft. Nelson</v>
      </c>
      <c r="L53" s="101" t="s">
        <v>128</v>
      </c>
      <c r="M53" s="77">
        <v>40</v>
      </c>
      <c r="N53" s="77">
        <v>39</v>
      </c>
      <c r="O53" s="72">
        <v>77</v>
      </c>
      <c r="P53" s="72">
        <v>100</v>
      </c>
      <c r="Q53" s="70">
        <v>58.8</v>
      </c>
      <c r="R53" s="70">
        <f t="shared" si="6"/>
        <v>73.8</v>
      </c>
      <c r="S53" s="70">
        <f t="shared" si="7"/>
        <v>75</v>
      </c>
    </row>
    <row r="54" spans="1:19" ht="13.5" thickBot="1" x14ac:dyDescent="0.25">
      <c r="A54" s="7"/>
      <c r="C54" s="115" t="s">
        <v>129</v>
      </c>
      <c r="D54" s="75">
        <f ca="1">(D51*D52/D48)-1</f>
        <v>2.4466136418414082</v>
      </c>
      <c r="E54" s="36"/>
      <c r="F54" s="116" t="s">
        <v>130</v>
      </c>
      <c r="H54" s="7"/>
      <c r="K54" s="4" t="str">
        <f t="shared" si="5"/>
        <v>Grande Praire</v>
      </c>
      <c r="L54" s="101" t="s">
        <v>131</v>
      </c>
      <c r="M54" s="77">
        <v>56</v>
      </c>
      <c r="N54" s="77">
        <v>56</v>
      </c>
      <c r="O54" s="72">
        <v>74</v>
      </c>
      <c r="P54" s="72">
        <v>102</v>
      </c>
      <c r="Q54" s="70">
        <v>55.1</v>
      </c>
      <c r="R54" s="70">
        <f t="shared" si="6"/>
        <v>70.099999999999994</v>
      </c>
      <c r="S54" s="70">
        <f t="shared" si="7"/>
        <v>70</v>
      </c>
    </row>
    <row r="55" spans="1:19" x14ac:dyDescent="0.2">
      <c r="A55" s="7"/>
      <c r="H55" s="7"/>
      <c r="K55" s="4" t="str">
        <f t="shared" si="5"/>
        <v>High Level</v>
      </c>
      <c r="L55" s="101" t="s">
        <v>132</v>
      </c>
      <c r="M55" s="77">
        <v>47</v>
      </c>
      <c r="N55" s="77">
        <v>47</v>
      </c>
      <c r="O55" s="72">
        <v>79</v>
      </c>
      <c r="P55" s="72">
        <v>103</v>
      </c>
      <c r="Q55" s="70">
        <v>58.5</v>
      </c>
      <c r="R55" s="70">
        <f t="shared" si="6"/>
        <v>73.5</v>
      </c>
      <c r="S55" s="70">
        <f t="shared" si="7"/>
        <v>75</v>
      </c>
    </row>
    <row r="56" spans="1:19" x14ac:dyDescent="0.2">
      <c r="A56" s="7"/>
      <c r="H56" s="7"/>
      <c r="K56" s="4" t="str">
        <f t="shared" si="5"/>
        <v>Lethbridge</v>
      </c>
      <c r="L56" s="101" t="s">
        <v>133</v>
      </c>
      <c r="M56" s="77">
        <v>73</v>
      </c>
      <c r="N56" s="77">
        <v>73</v>
      </c>
      <c r="O56" s="72">
        <v>69</v>
      </c>
      <c r="P56" s="72">
        <v>109</v>
      </c>
      <c r="Q56" s="70">
        <v>49.7</v>
      </c>
      <c r="R56" s="70">
        <f t="shared" si="6"/>
        <v>64.7</v>
      </c>
      <c r="S56" s="70">
        <f t="shared" si="7"/>
        <v>65</v>
      </c>
    </row>
    <row r="57" spans="1:19" ht="13.5" thickBot="1" x14ac:dyDescent="0.25">
      <c r="A57" s="7"/>
      <c r="C57" s="21" t="s">
        <v>134</v>
      </c>
      <c r="H57" s="7"/>
      <c r="K57" s="4" t="str">
        <f t="shared" si="5"/>
        <v>Lloydminster</v>
      </c>
      <c r="L57" s="101" t="s">
        <v>135</v>
      </c>
      <c r="M57" s="77">
        <v>65</v>
      </c>
      <c r="N57" s="77">
        <v>65</v>
      </c>
      <c r="O57" s="72">
        <v>70</v>
      </c>
      <c r="P57" s="72">
        <v>103</v>
      </c>
      <c r="Q57" s="70">
        <v>53.3</v>
      </c>
      <c r="R57" s="70">
        <f t="shared" si="6"/>
        <v>68.3</v>
      </c>
      <c r="S57" s="70">
        <f t="shared" si="7"/>
        <v>70</v>
      </c>
    </row>
    <row r="58" spans="1:19" x14ac:dyDescent="0.2">
      <c r="A58" s="7"/>
      <c r="C58" s="22" t="s">
        <v>136</v>
      </c>
      <c r="D58" s="23"/>
      <c r="E58" s="23"/>
      <c r="F58" s="13"/>
      <c r="H58" s="7"/>
      <c r="K58" s="4" t="str">
        <f t="shared" si="5"/>
        <v>Medicine Hat</v>
      </c>
      <c r="L58" s="101" t="s">
        <v>137</v>
      </c>
      <c r="M58" s="77">
        <v>74</v>
      </c>
      <c r="N58" s="77">
        <v>75</v>
      </c>
      <c r="O58" s="72">
        <v>72</v>
      </c>
      <c r="P58" s="72">
        <v>111</v>
      </c>
      <c r="Q58" s="70">
        <v>50</v>
      </c>
      <c r="R58" s="70">
        <f t="shared" si="6"/>
        <v>65</v>
      </c>
      <c r="S58" s="70">
        <f t="shared" si="7"/>
        <v>65</v>
      </c>
    </row>
    <row r="59" spans="1:19" x14ac:dyDescent="0.2">
      <c r="A59" s="7"/>
      <c r="C59" s="117" t="s">
        <v>138</v>
      </c>
      <c r="D59" s="132">
        <f ca="1">Duty</f>
        <v>0.15555555555555556</v>
      </c>
      <c r="E59" s="15"/>
      <c r="F59" s="17"/>
      <c r="H59" s="7"/>
      <c r="K59" s="4" t="str">
        <f t="shared" si="5"/>
        <v>Pink Mountain</v>
      </c>
      <c r="L59" s="101" t="s">
        <v>139</v>
      </c>
      <c r="M59" s="77">
        <v>45</v>
      </c>
      <c r="N59" s="77">
        <v>45</v>
      </c>
      <c r="O59" s="72">
        <v>74</v>
      </c>
      <c r="P59" s="72">
        <v>98</v>
      </c>
      <c r="Q59" s="70">
        <v>57</v>
      </c>
      <c r="R59" s="70">
        <f t="shared" si="6"/>
        <v>72</v>
      </c>
      <c r="S59" s="70">
        <f t="shared" si="7"/>
        <v>70</v>
      </c>
    </row>
    <row r="60" spans="1:19" x14ac:dyDescent="0.2">
      <c r="A60" s="7"/>
      <c r="C60" s="117" t="s">
        <v>140</v>
      </c>
      <c r="D60" s="133">
        <f ca="1">Duty*t.cycle</f>
        <v>9.3333333333333339</v>
      </c>
      <c r="E60" s="39"/>
      <c r="F60" s="17" t="s">
        <v>34</v>
      </c>
      <c r="H60" s="7"/>
      <c r="K60" s="4" t="str">
        <f t="shared" si="5"/>
        <v>Ponoka</v>
      </c>
      <c r="L60" s="101" t="s">
        <v>141</v>
      </c>
      <c r="M60" s="77">
        <v>67</v>
      </c>
      <c r="N60" s="77">
        <v>67</v>
      </c>
      <c r="O60" s="72">
        <v>71</v>
      </c>
      <c r="P60" s="72">
        <v>104</v>
      </c>
      <c r="Q60" s="70">
        <v>52.7</v>
      </c>
      <c r="R60" s="70">
        <f t="shared" si="6"/>
        <v>67.7</v>
      </c>
      <c r="S60" s="70">
        <f t="shared" si="7"/>
        <v>70</v>
      </c>
    </row>
    <row r="61" spans="1:19" x14ac:dyDescent="0.2">
      <c r="A61" s="7"/>
      <c r="C61" s="117" t="s">
        <v>142</v>
      </c>
      <c r="D61" s="133">
        <f ca="1">t.cycle*(1-Duty)</f>
        <v>50.666666666666664</v>
      </c>
      <c r="E61" s="39"/>
      <c r="F61" s="17" t="s">
        <v>34</v>
      </c>
      <c r="H61" s="7"/>
      <c r="K61" s="4" t="str">
        <f t="shared" si="5"/>
        <v>Prince George</v>
      </c>
      <c r="L61" s="101" t="s">
        <v>143</v>
      </c>
      <c r="M61" s="77">
        <v>38</v>
      </c>
      <c r="N61" s="77">
        <v>38</v>
      </c>
      <c r="O61" s="72">
        <v>71</v>
      </c>
      <c r="P61" s="72">
        <v>99</v>
      </c>
      <c r="Q61" s="70">
        <v>53.9</v>
      </c>
      <c r="R61" s="70">
        <f t="shared" si="6"/>
        <v>68.900000000000006</v>
      </c>
      <c r="S61" s="70">
        <f t="shared" si="7"/>
        <v>70</v>
      </c>
    </row>
    <row r="62" spans="1:19" x14ac:dyDescent="0.2">
      <c r="A62" s="7"/>
      <c r="C62" s="117" t="s">
        <v>144</v>
      </c>
      <c r="D62" s="133">
        <f>t.cycle</f>
        <v>60</v>
      </c>
      <c r="E62" s="39"/>
      <c r="F62" s="17" t="s">
        <v>34</v>
      </c>
      <c r="H62" s="7"/>
      <c r="K62" s="4" t="str">
        <f t="shared" si="5"/>
        <v>Red Deer</v>
      </c>
      <c r="L62" s="101" t="s">
        <v>145</v>
      </c>
      <c r="M62" s="77">
        <v>68</v>
      </c>
      <c r="N62" s="77">
        <v>68</v>
      </c>
      <c r="O62" s="72">
        <v>70</v>
      </c>
      <c r="P62" s="72">
        <v>104</v>
      </c>
      <c r="Q62" s="70">
        <v>52.3</v>
      </c>
      <c r="R62" s="70">
        <f t="shared" si="6"/>
        <v>67.3</v>
      </c>
      <c r="S62" s="70">
        <f t="shared" si="7"/>
        <v>65</v>
      </c>
    </row>
    <row r="63" spans="1:19" ht="13.5" thickBot="1" x14ac:dyDescent="0.25">
      <c r="A63" s="7"/>
      <c r="C63" s="135"/>
      <c r="D63" s="136"/>
      <c r="E63" s="137"/>
      <c r="F63" s="20"/>
      <c r="H63" s="7"/>
      <c r="K63" s="4" t="str">
        <f t="shared" si="5"/>
        <v>Rimbey</v>
      </c>
      <c r="L63" s="101" t="s">
        <v>146</v>
      </c>
      <c r="M63" s="77">
        <v>63</v>
      </c>
      <c r="N63" s="77">
        <v>63</v>
      </c>
      <c r="O63" s="72">
        <v>70</v>
      </c>
      <c r="P63" s="72">
        <v>103</v>
      </c>
      <c r="Q63" s="70">
        <v>52.6</v>
      </c>
      <c r="R63" s="70">
        <f t="shared" si="6"/>
        <v>67.599999999999994</v>
      </c>
      <c r="S63" s="70">
        <f t="shared" si="7"/>
        <v>70</v>
      </c>
    </row>
    <row r="64" spans="1:19" x14ac:dyDescent="0.2">
      <c r="A64" s="7"/>
      <c r="C64" s="134"/>
      <c r="D64" s="64"/>
      <c r="E64" s="16"/>
      <c r="F64" s="15"/>
      <c r="H64" s="7"/>
      <c r="K64" s="4" t="str">
        <f t="shared" si="5"/>
        <v>Slave Lake</v>
      </c>
      <c r="L64" s="101" t="s">
        <v>147</v>
      </c>
      <c r="M64" s="77">
        <v>53</v>
      </c>
      <c r="N64" s="77">
        <v>53</v>
      </c>
      <c r="O64" s="72">
        <v>73</v>
      </c>
      <c r="P64" s="72">
        <v>101</v>
      </c>
      <c r="Q64" s="70">
        <v>55.3</v>
      </c>
      <c r="R64" s="70">
        <f t="shared" si="6"/>
        <v>70.3</v>
      </c>
      <c r="S64" s="70">
        <f t="shared" si="7"/>
        <v>70</v>
      </c>
    </row>
    <row r="65" spans="1:19" x14ac:dyDescent="0.2">
      <c r="A65" s="7"/>
      <c r="B65" s="7"/>
      <c r="C65" s="7"/>
      <c r="D65" s="7"/>
      <c r="E65" s="7"/>
      <c r="F65" s="138" t="s">
        <v>148</v>
      </c>
      <c r="G65" s="7"/>
      <c r="H65" s="7"/>
      <c r="K65" s="4" t="str">
        <f t="shared" si="5"/>
        <v>Swift Current</v>
      </c>
      <c r="L65" s="118" t="s">
        <v>149</v>
      </c>
      <c r="M65" s="77">
        <v>73</v>
      </c>
      <c r="N65" s="77">
        <v>73</v>
      </c>
      <c r="O65" s="72">
        <v>71</v>
      </c>
      <c r="P65" s="72">
        <v>110</v>
      </c>
      <c r="Q65" s="70">
        <v>50.3</v>
      </c>
      <c r="R65" s="70">
        <f t="shared" si="6"/>
        <v>65.3</v>
      </c>
      <c r="S65" s="70">
        <f t="shared" si="7"/>
        <v>65</v>
      </c>
    </row>
    <row r="66" spans="1:19" x14ac:dyDescent="0.2">
      <c r="K66" s="4" t="str">
        <f t="shared" si="5"/>
        <v>Valleyview</v>
      </c>
      <c r="L66" s="101" t="s">
        <v>150</v>
      </c>
      <c r="M66" s="77">
        <v>54</v>
      </c>
      <c r="N66" s="77">
        <v>54</v>
      </c>
      <c r="O66" s="72">
        <v>72</v>
      </c>
      <c r="P66" s="72">
        <v>101</v>
      </c>
      <c r="Q66" s="70">
        <v>55</v>
      </c>
      <c r="R66" s="70">
        <f t="shared" si="6"/>
        <v>70</v>
      </c>
      <c r="S66" s="70">
        <f t="shared" si="7"/>
        <v>70</v>
      </c>
    </row>
    <row r="67" spans="1:19" x14ac:dyDescent="0.2">
      <c r="K67" s="4" t="str">
        <f t="shared" si="5"/>
        <v>Weyburn</v>
      </c>
      <c r="L67" s="101" t="s">
        <v>151</v>
      </c>
      <c r="M67" s="77">
        <v>81</v>
      </c>
      <c r="N67" s="77">
        <v>81</v>
      </c>
      <c r="O67" s="72">
        <v>69</v>
      </c>
      <c r="P67" s="72">
        <v>109</v>
      </c>
      <c r="Q67" s="70">
        <v>49.6</v>
      </c>
      <c r="R67" s="70">
        <f t="shared" si="6"/>
        <v>64.599999999999994</v>
      </c>
      <c r="S67" s="70">
        <f t="shared" si="7"/>
        <v>65</v>
      </c>
    </row>
    <row r="68" spans="1:19" x14ac:dyDescent="0.2">
      <c r="K68" s="4" t="str">
        <f t="shared" si="5"/>
        <v>Whitecourt</v>
      </c>
      <c r="L68" s="101" t="s">
        <v>152</v>
      </c>
      <c r="M68" s="77">
        <v>53</v>
      </c>
      <c r="N68" s="77">
        <v>53</v>
      </c>
      <c r="O68" s="72">
        <v>70</v>
      </c>
      <c r="P68" s="72">
        <v>100</v>
      </c>
      <c r="Q68" s="70">
        <v>54.1</v>
      </c>
      <c r="R68" s="70">
        <f t="shared" si="6"/>
        <v>69.099999999999994</v>
      </c>
      <c r="S68" s="70">
        <f t="shared" si="7"/>
        <v>70</v>
      </c>
    </row>
    <row r="69" spans="1:19" x14ac:dyDescent="0.2">
      <c r="K69" s="4" t="str">
        <f t="shared" si="5"/>
        <v>California-Bakersfield</v>
      </c>
      <c r="L69" s="118" t="s">
        <v>153</v>
      </c>
      <c r="M69" s="77">
        <f>3*30</f>
        <v>90</v>
      </c>
      <c r="N69" s="77">
        <f>3.4*30</f>
        <v>102</v>
      </c>
      <c r="O69" s="72">
        <f>2.4*30</f>
        <v>72</v>
      </c>
      <c r="P69" s="72">
        <f>6.1*30</f>
        <v>183</v>
      </c>
      <c r="Q69" s="71">
        <v>35.4</v>
      </c>
      <c r="R69" s="70">
        <f t="shared" si="6"/>
        <v>50.4</v>
      </c>
      <c r="S69" s="70">
        <f t="shared" si="7"/>
        <v>50</v>
      </c>
    </row>
    <row r="70" spans="1:19" x14ac:dyDescent="0.2">
      <c r="K70" s="4" t="str">
        <f t="shared" si="5"/>
        <v>Colorado-Boulder</v>
      </c>
      <c r="L70" s="118" t="s">
        <v>154</v>
      </c>
      <c r="M70" s="77">
        <f>4.3*30</f>
        <v>129</v>
      </c>
      <c r="N70" s="77">
        <f>4.5*30</f>
        <v>135</v>
      </c>
      <c r="O70" s="72">
        <f>2.6*30</f>
        <v>78</v>
      </c>
      <c r="P70" s="72">
        <f>5.2*30</f>
        <v>156</v>
      </c>
      <c r="Q70" s="71">
        <v>40</v>
      </c>
      <c r="R70" s="70">
        <f t="shared" si="6"/>
        <v>55</v>
      </c>
      <c r="S70" s="70">
        <f t="shared" si="7"/>
        <v>55</v>
      </c>
    </row>
    <row r="71" spans="1:19" x14ac:dyDescent="0.2">
      <c r="K71" s="4" t="str">
        <f t="shared" si="5"/>
        <v>New Mexico-Albuquerque</v>
      </c>
      <c r="L71" s="118" t="s">
        <v>155</v>
      </c>
      <c r="M71" s="77">
        <f>5.1*30</f>
        <v>153</v>
      </c>
      <c r="N71" s="77">
        <f>5.5*30</f>
        <v>165</v>
      </c>
      <c r="O71" s="72">
        <f>2.4*30</f>
        <v>72</v>
      </c>
      <c r="P71" s="72">
        <f>6.1*30</f>
        <v>183</v>
      </c>
      <c r="Q71" s="71">
        <v>35</v>
      </c>
      <c r="R71" s="70">
        <f t="shared" si="6"/>
        <v>50</v>
      </c>
      <c r="S71" s="70">
        <f t="shared" si="7"/>
        <v>50</v>
      </c>
    </row>
    <row r="72" spans="1:19" x14ac:dyDescent="0.2">
      <c r="K72" s="4" t="str">
        <f t="shared" si="5"/>
        <v>North Dakota-Minot</v>
      </c>
      <c r="L72" s="101" t="s">
        <v>156</v>
      </c>
      <c r="M72" s="113">
        <f>3*30</f>
        <v>90</v>
      </c>
      <c r="N72" s="77">
        <f>3*30</f>
        <v>90</v>
      </c>
      <c r="O72" s="72">
        <f>3*30</f>
        <v>90</v>
      </c>
      <c r="P72" s="72">
        <f>5*30</f>
        <v>150</v>
      </c>
      <c r="Q72" s="71">
        <v>48.3</v>
      </c>
      <c r="R72" s="70">
        <f t="shared" si="6"/>
        <v>63.3</v>
      </c>
      <c r="S72" s="70">
        <f t="shared" si="7"/>
        <v>65</v>
      </c>
    </row>
    <row r="73" spans="1:19" x14ac:dyDescent="0.2">
      <c r="K73" s="4" t="str">
        <f t="shared" si="5"/>
        <v>Oklahoma-OK city</v>
      </c>
      <c r="L73" s="118" t="s">
        <v>157</v>
      </c>
      <c r="M73" s="113">
        <f>4*30</f>
        <v>120</v>
      </c>
      <c r="N73" s="113">
        <f>4.4*30</f>
        <v>132</v>
      </c>
      <c r="O73" s="72">
        <f>2.3*30</f>
        <v>69</v>
      </c>
      <c r="P73" s="72">
        <f>5.2*30</f>
        <v>156</v>
      </c>
      <c r="Q73" s="71">
        <v>35.4</v>
      </c>
      <c r="R73" s="70">
        <f t="shared" si="6"/>
        <v>50.4</v>
      </c>
      <c r="S73" s="70">
        <f t="shared" si="7"/>
        <v>50</v>
      </c>
    </row>
    <row r="74" spans="1:19" x14ac:dyDescent="0.2">
      <c r="K74" s="4" t="str">
        <f t="shared" si="5"/>
        <v>Pennsylvania-Williamsport</v>
      </c>
      <c r="L74" s="118" t="s">
        <v>158</v>
      </c>
      <c r="M74" s="77">
        <f>2.2*30</f>
        <v>66</v>
      </c>
      <c r="N74" s="77">
        <f>2.4*30</f>
        <v>72</v>
      </c>
      <c r="O74" s="72">
        <f>2.5*30</f>
        <v>75</v>
      </c>
      <c r="P74" s="72">
        <f>4.7*30</f>
        <v>141</v>
      </c>
      <c r="Q74" s="70">
        <v>41.3</v>
      </c>
      <c r="R74" s="70">
        <f t="shared" si="6"/>
        <v>56.3</v>
      </c>
      <c r="S74" s="70">
        <f t="shared" si="7"/>
        <v>55</v>
      </c>
    </row>
    <row r="75" spans="1:19" x14ac:dyDescent="0.2">
      <c r="K75" s="4" t="str">
        <f t="shared" si="5"/>
        <v>Texas-Amarillo</v>
      </c>
      <c r="L75" s="118" t="s">
        <v>159</v>
      </c>
      <c r="M75" s="77">
        <f>4.6*30</f>
        <v>138</v>
      </c>
      <c r="N75" s="77">
        <f>5*30</f>
        <v>150</v>
      </c>
      <c r="O75" s="72">
        <f>2.2*30</f>
        <v>66</v>
      </c>
      <c r="P75" s="72">
        <f>5.5*30</f>
        <v>165</v>
      </c>
      <c r="Q75" s="71">
        <v>35.200000000000003</v>
      </c>
      <c r="R75" s="70">
        <f t="shared" si="6"/>
        <v>50.2</v>
      </c>
      <c r="S75" s="70">
        <f t="shared" si="7"/>
        <v>50</v>
      </c>
    </row>
    <row r="76" spans="1:19" x14ac:dyDescent="0.2">
      <c r="K76" s="4" t="str">
        <f t="shared" si="5"/>
        <v>Texas-Corpus Christi</v>
      </c>
      <c r="L76" s="118" t="s">
        <v>160</v>
      </c>
      <c r="M76" s="77">
        <f>3.2*30</f>
        <v>96</v>
      </c>
      <c r="N76" s="77">
        <f>3.8*30</f>
        <v>114</v>
      </c>
      <c r="O76" s="72">
        <f>1.7*30</f>
        <v>51</v>
      </c>
      <c r="P76" s="72">
        <f>4.8*30</f>
        <v>144</v>
      </c>
      <c r="Q76" s="71">
        <v>27</v>
      </c>
      <c r="R76" s="70">
        <f t="shared" si="6"/>
        <v>42</v>
      </c>
      <c r="S76" s="70">
        <f t="shared" si="7"/>
        <v>40</v>
      </c>
    </row>
    <row r="77" spans="1:19" x14ac:dyDescent="0.2">
      <c r="K77" s="4" t="str">
        <f t="shared" si="5"/>
        <v>Texas--ElPaso</v>
      </c>
      <c r="L77" s="118" t="s">
        <v>161</v>
      </c>
      <c r="M77" s="77">
        <f>5.1*30</f>
        <v>153</v>
      </c>
      <c r="N77" s="77">
        <f>5.6*30</f>
        <v>168</v>
      </c>
      <c r="O77" s="72">
        <f>2.1*30</f>
        <v>63</v>
      </c>
      <c r="P77" s="72">
        <f>6*30</f>
        <v>180</v>
      </c>
      <c r="Q77" s="71">
        <v>31.8</v>
      </c>
      <c r="R77" s="70">
        <f t="shared" si="6"/>
        <v>46.8</v>
      </c>
      <c r="S77" s="70">
        <f t="shared" si="7"/>
        <v>45</v>
      </c>
    </row>
    <row r="78" spans="1:19" x14ac:dyDescent="0.2">
      <c r="K78" s="4" t="str">
        <f t="shared" si="5"/>
        <v>Texas--Ft.Worth/Midland</v>
      </c>
      <c r="L78" s="118" t="s">
        <v>162</v>
      </c>
      <c r="M78" s="77">
        <f>4*30</f>
        <v>120</v>
      </c>
      <c r="N78" s="77">
        <f>4.4*30</f>
        <v>132</v>
      </c>
      <c r="O78" s="72">
        <f>2.1*30</f>
        <v>63</v>
      </c>
      <c r="P78" s="72">
        <f>5.3*30</f>
        <v>159</v>
      </c>
      <c r="Q78" s="71">
        <v>32.799999999999997</v>
      </c>
      <c r="R78" s="70">
        <f t="shared" si="6"/>
        <v>47.8</v>
      </c>
      <c r="S78" s="70">
        <f t="shared" si="7"/>
        <v>50</v>
      </c>
    </row>
    <row r="79" spans="1:19" x14ac:dyDescent="0.2">
      <c r="K79" s="4" t="str">
        <f t="shared" si="5"/>
        <v>Texas-San Antonio</v>
      </c>
      <c r="L79" s="118" t="s">
        <v>163</v>
      </c>
      <c r="M79" s="77">
        <f>30*3.8</f>
        <v>114</v>
      </c>
      <c r="N79" s="77">
        <f>4.4*30</f>
        <v>132</v>
      </c>
      <c r="O79" s="72">
        <f>1.9*30</f>
        <v>57</v>
      </c>
      <c r="P79" s="72">
        <f>5.2*30</f>
        <v>156</v>
      </c>
      <c r="Q79" s="71">
        <v>29.5</v>
      </c>
      <c r="R79" s="70">
        <f t="shared" si="6"/>
        <v>44.5</v>
      </c>
      <c r="S79" s="70">
        <f t="shared" si="7"/>
        <v>45</v>
      </c>
    </row>
    <row r="80" spans="1:19" x14ac:dyDescent="0.2">
      <c r="K80" s="4" t="str">
        <f t="shared" si="5"/>
        <v>Wyoming-Rock Springs</v>
      </c>
      <c r="L80" s="118" t="s">
        <v>164</v>
      </c>
      <c r="M80" s="77">
        <f>3.9*30</f>
        <v>117</v>
      </c>
      <c r="N80" s="77">
        <f>4.1*30</f>
        <v>122.99999999999999</v>
      </c>
      <c r="O80" s="72">
        <f>2.8*30</f>
        <v>84</v>
      </c>
      <c r="P80" s="72">
        <f>5.5*30</f>
        <v>165</v>
      </c>
      <c r="Q80" s="71">
        <v>41.6</v>
      </c>
      <c r="R80" s="70">
        <f t="shared" si="6"/>
        <v>56.6</v>
      </c>
      <c r="S80" s="70">
        <f t="shared" si="7"/>
        <v>55</v>
      </c>
    </row>
    <row r="81" spans="10:19" x14ac:dyDescent="0.2">
      <c r="K81" s="4" t="s">
        <v>165</v>
      </c>
      <c r="L81" s="70" t="s">
        <v>165</v>
      </c>
      <c r="M81" s="77">
        <f>2.83*30</f>
        <v>84.9</v>
      </c>
      <c r="N81" s="77">
        <f>3.45*30</f>
        <v>103.5</v>
      </c>
      <c r="O81" s="72"/>
      <c r="P81" s="72"/>
      <c r="Q81" s="71">
        <v>38.9</v>
      </c>
      <c r="R81" s="80">
        <f t="shared" si="6"/>
        <v>53.9</v>
      </c>
      <c r="S81" s="70">
        <f t="shared" si="7"/>
        <v>55</v>
      </c>
    </row>
    <row r="82" spans="10:19" x14ac:dyDescent="0.2">
      <c r="K82" s="4" t="s">
        <v>166</v>
      </c>
      <c r="L82" s="70" t="s">
        <v>166</v>
      </c>
      <c r="M82" s="77">
        <f>1.6*30</f>
        <v>48</v>
      </c>
      <c r="N82" s="77">
        <f>2.3*30</f>
        <v>69</v>
      </c>
      <c r="O82" s="72"/>
      <c r="P82" s="72"/>
      <c r="Q82" s="71">
        <v>45.8</v>
      </c>
      <c r="R82" s="80">
        <f t="shared" si="6"/>
        <v>60.8</v>
      </c>
      <c r="S82" s="70">
        <f t="shared" si="7"/>
        <v>60</v>
      </c>
    </row>
    <row r="83" spans="10:19" x14ac:dyDescent="0.2">
      <c r="J83" s="4" t="s">
        <v>167</v>
      </c>
      <c r="K83" s="4" t="s">
        <v>168</v>
      </c>
      <c r="L83" s="70" t="s">
        <v>168</v>
      </c>
      <c r="M83" s="77">
        <f>1.1*30</f>
        <v>33</v>
      </c>
      <c r="N83" s="77">
        <f>1.2*30</f>
        <v>36</v>
      </c>
      <c r="O83" s="72"/>
      <c r="P83" s="72"/>
      <c r="Q83" s="71">
        <v>51.6</v>
      </c>
      <c r="R83" s="80">
        <f t="shared" si="6"/>
        <v>66.599999999999994</v>
      </c>
      <c r="S83" s="70">
        <f t="shared" si="7"/>
        <v>65</v>
      </c>
    </row>
    <row r="84" spans="10:19" x14ac:dyDescent="0.2">
      <c r="J84" s="4" t="s">
        <v>167</v>
      </c>
      <c r="K84" s="4" t="s">
        <v>103</v>
      </c>
      <c r="L84" s="118" t="s">
        <v>103</v>
      </c>
      <c r="M84" s="77">
        <f>3.92*30</f>
        <v>117.6</v>
      </c>
      <c r="N84" s="77">
        <f>4.57*30</f>
        <v>137.10000000000002</v>
      </c>
      <c r="O84" s="72">
        <f>1.98*30</f>
        <v>59.4</v>
      </c>
      <c r="P84" s="72">
        <f>5.86*30</f>
        <v>175.8</v>
      </c>
      <c r="Q84" s="71">
        <v>29.3</v>
      </c>
      <c r="R84" s="80">
        <f t="shared" si="6"/>
        <v>44.3</v>
      </c>
      <c r="S84" s="70">
        <f t="shared" si="7"/>
        <v>45</v>
      </c>
    </row>
    <row r="85" spans="10:19" x14ac:dyDescent="0.2">
      <c r="K85" s="4" t="s">
        <v>169</v>
      </c>
      <c r="L85" s="118" t="s">
        <v>170</v>
      </c>
      <c r="M85" s="77">
        <f>2.13*30</f>
        <v>63.9</v>
      </c>
      <c r="N85" s="77">
        <f>5.04*30</f>
        <v>151.19999999999999</v>
      </c>
      <c r="O85" s="72">
        <f>1.75*30</f>
        <v>52.5</v>
      </c>
      <c r="P85" s="72">
        <f>4.96*30</f>
        <v>148.80000000000001</v>
      </c>
      <c r="Q85" s="71">
        <v>4.4000000000000004</v>
      </c>
      <c r="R85" s="80">
        <f t="shared" si="6"/>
        <v>19.399999999999999</v>
      </c>
      <c r="S85" s="70">
        <f t="shared" si="7"/>
        <v>20</v>
      </c>
    </row>
    <row r="86" spans="10:19" x14ac:dyDescent="0.2">
      <c r="K86" s="98" t="s">
        <v>171</v>
      </c>
      <c r="L86" s="118" t="s">
        <v>171</v>
      </c>
      <c r="M86" s="77">
        <v>153</v>
      </c>
      <c r="N86" s="77">
        <v>168</v>
      </c>
      <c r="O86" s="72">
        <v>63</v>
      </c>
      <c r="P86" s="72">
        <v>180</v>
      </c>
      <c r="Q86" s="71">
        <v>31.8</v>
      </c>
      <c r="R86" s="80">
        <v>46.8</v>
      </c>
      <c r="S86" s="70">
        <f t="shared" si="7"/>
        <v>45</v>
      </c>
    </row>
    <row r="87" spans="10:19" x14ac:dyDescent="0.2">
      <c r="L87" s="118" t="s">
        <v>172</v>
      </c>
      <c r="M87" s="78"/>
      <c r="N87" s="78"/>
      <c r="O87" s="79"/>
      <c r="P87" s="79"/>
      <c r="R87" s="70"/>
    </row>
    <row r="88" spans="10:19" x14ac:dyDescent="0.2">
      <c r="M88" s="78"/>
      <c r="N88" s="78"/>
      <c r="O88" s="79"/>
      <c r="P88" s="79"/>
      <c r="R88" s="70"/>
    </row>
    <row r="89" spans="10:19" x14ac:dyDescent="0.2">
      <c r="M89" s="78"/>
      <c r="N89" s="78"/>
      <c r="O89" s="79"/>
      <c r="P89" s="79"/>
      <c r="R89" s="70"/>
    </row>
    <row r="90" spans="10:19" x14ac:dyDescent="0.2">
      <c r="M90" s="78"/>
      <c r="N90" s="78"/>
      <c r="O90" s="79"/>
      <c r="P90" s="79"/>
    </row>
    <row r="91" spans="10:19" x14ac:dyDescent="0.2">
      <c r="M91" s="78"/>
      <c r="N91" s="78"/>
      <c r="O91" s="79"/>
      <c r="P91" s="79"/>
    </row>
    <row r="102" spans="3:3" ht="20.25" x14ac:dyDescent="0.35">
      <c r="C102" s="82"/>
    </row>
  </sheetData>
  <sheetProtection algorithmName="SHA-512" hashValue="5uDutXDFlvWfnEtoGPy79Y4Pk6cIZeW9ZgJnSedisrsifrUkt/5cZcBOrJBqr7PDqXDx0/OwzSgAcZjrHko2Uw==" saltValue="htarc+nbyC6IhmowUgO3FA==" spinCount="100000" sheet="1" selectLockedCells="1"/>
  <mergeCells count="6">
    <mergeCell ref="U22:X23"/>
    <mergeCell ref="D43:F43"/>
    <mergeCell ref="D11:F11"/>
    <mergeCell ref="D18:F18"/>
    <mergeCell ref="M40:N40"/>
    <mergeCell ref="O40:P40"/>
  </mergeCells>
  <phoneticPr fontId="5" type="noConversion"/>
  <conditionalFormatting sqref="D39:E39">
    <cfRule type="cellIs" dxfId="0" priority="1" stopIfTrue="1" operator="greaterThan">
      <formula>#REF!</formula>
    </cfRule>
  </conditionalFormatting>
  <dataValidations count="8">
    <dataValidation type="list" allowBlank="1" showErrorMessage="1" prompt="Select Panel Size" sqref="D50" xr:uid="{00000000-0002-0000-0000-000000000000}">
      <formula1>"20,30,40,55,80,85,90,95,100,110,125,130,135,140,145,160,180,220,230,240,250,260,275"</formula1>
    </dataValidation>
    <dataValidation type="list" allowBlank="1" showInputMessage="1" showErrorMessage="1" sqref="D11" xr:uid="{00000000-0002-0000-0000-000001000000}">
      <formula1>datalist</formula1>
    </dataValidation>
    <dataValidation type="list" allowBlank="1" showInputMessage="1" showErrorMessage="1" sqref="D16" xr:uid="{00000000-0002-0000-0000-000002000000}">
      <formula1>"-40C,-30C,-20C,-10C,&gt;=0C"</formula1>
    </dataValidation>
    <dataValidation type="whole" operator="greaterThanOrEqual" allowBlank="1" showInputMessage="1" showErrorMessage="1" sqref="D17" xr:uid="{00000000-0002-0000-0000-000003000000}">
      <formula1>3</formula1>
    </dataValidation>
    <dataValidation type="list" allowBlank="1" showInputMessage="1" showErrorMessage="1" sqref="F10" xr:uid="{00000000-0002-0000-0000-000004000000}">
      <formula1>$L$27:$L$29</formula1>
    </dataValidation>
    <dataValidation type="list" allowBlank="1" showInputMessage="1" showErrorMessage="1" sqref="D12" xr:uid="{00000000-0002-0000-0000-000005000000}">
      <formula1>$N$26:$N$27</formula1>
    </dataValidation>
    <dataValidation type="list" allowBlank="1" showInputMessage="1" showErrorMessage="1" sqref="D15" xr:uid="{00000000-0002-0000-0000-000006000000}">
      <formula1>"50,100,140,250"</formula1>
    </dataValidation>
    <dataValidation type="list" allowBlank="1" showInputMessage="1" showErrorMessage="1" sqref="C44" xr:uid="{00000000-0002-0000-0000-000007000000}">
      <formula1>$L$42:$L$86</formula1>
    </dataValidation>
  </dataValidations>
  <hyperlinks>
    <hyperlink ref="L38" r:id="rId1" xr:uid="{00000000-0004-0000-0000-000000000000}"/>
    <hyperlink ref="N37" r:id="rId2" xr:uid="{00000000-0004-0000-0000-000001000000}"/>
    <hyperlink ref="O6" r:id="rId3" xr:uid="{00000000-0004-0000-0000-000002000000}"/>
    <hyperlink ref="O8" r:id="rId4" xr:uid="{00000000-0004-0000-0000-000003000000}"/>
  </hyperlinks>
  <pageMargins left="0.75" right="0.75" top="1" bottom="1" header="0.5" footer="0.5"/>
  <pageSetup orientation="portrait" horizontalDpi="4294967293" verticalDpi="300" r:id="rId5"/>
  <headerFooter alignWithMargins="0">
    <oddHeader>&amp;CSirius Injection System
Flow-Spec Sizing Program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6:J58"/>
  <sheetViews>
    <sheetView topLeftCell="A22" workbookViewId="0">
      <selection activeCell="C59" sqref="C59"/>
    </sheetView>
  </sheetViews>
  <sheetFormatPr defaultColWidth="8.85546875" defaultRowHeight="12.75" x14ac:dyDescent="0.2"/>
  <cols>
    <col min="1" max="1" width="17.42578125" style="4" customWidth="1"/>
    <col min="2" max="16384" width="8.85546875" style="4"/>
  </cols>
  <sheetData>
    <row r="46" spans="1:8" x14ac:dyDescent="0.2">
      <c r="H46" s="4" t="s">
        <v>173</v>
      </c>
    </row>
    <row r="48" spans="1:8" x14ac:dyDescent="0.2">
      <c r="A48" s="4" t="s">
        <v>174</v>
      </c>
      <c r="C48" s="4" t="s">
        <v>175</v>
      </c>
      <c r="D48" s="4" t="s">
        <v>176</v>
      </c>
      <c r="E48" s="4" t="s">
        <v>177</v>
      </c>
      <c r="H48" s="4" t="s">
        <v>178</v>
      </c>
    </row>
    <row r="49" spans="1:10" x14ac:dyDescent="0.2">
      <c r="A49" s="98" t="s">
        <v>179</v>
      </c>
      <c r="C49" s="4">
        <v>1</v>
      </c>
      <c r="D49" s="4">
        <f>E49*0.3</f>
        <v>78</v>
      </c>
      <c r="E49" s="4">
        <v>260</v>
      </c>
      <c r="H49" s="4">
        <f>C49</f>
        <v>1</v>
      </c>
      <c r="I49" s="4">
        <f t="shared" ref="I49:J53" si="0">D49-C49</f>
        <v>77</v>
      </c>
      <c r="J49" s="4">
        <f t="shared" si="0"/>
        <v>182</v>
      </c>
    </row>
    <row r="50" spans="1:10" x14ac:dyDescent="0.2">
      <c r="A50" s="98" t="s">
        <v>180</v>
      </c>
      <c r="C50" s="4">
        <v>2</v>
      </c>
      <c r="D50" s="4">
        <f>E50*0.3</f>
        <v>127.5</v>
      </c>
      <c r="E50" s="4">
        <v>425</v>
      </c>
      <c r="H50" s="4">
        <f>C50</f>
        <v>2</v>
      </c>
      <c r="I50" s="4">
        <f t="shared" si="0"/>
        <v>125.5</v>
      </c>
      <c r="J50" s="4">
        <f t="shared" si="0"/>
        <v>297.5</v>
      </c>
    </row>
    <row r="51" spans="1:10" x14ac:dyDescent="0.2">
      <c r="A51" s="98" t="s">
        <v>181</v>
      </c>
      <c r="C51" s="4">
        <v>1</v>
      </c>
      <c r="D51" s="4">
        <f>E51*0.3</f>
        <v>60</v>
      </c>
      <c r="E51" s="4">
        <v>200</v>
      </c>
      <c r="H51" s="4">
        <f>C51</f>
        <v>1</v>
      </c>
      <c r="I51" s="4">
        <f t="shared" si="0"/>
        <v>59</v>
      </c>
      <c r="J51" s="4">
        <f t="shared" si="0"/>
        <v>140</v>
      </c>
    </row>
    <row r="52" spans="1:10" x14ac:dyDescent="0.2">
      <c r="A52" s="98" t="s">
        <v>182</v>
      </c>
      <c r="C52" s="4">
        <v>2</v>
      </c>
      <c r="D52" s="4">
        <f>E52*0.3</f>
        <v>105</v>
      </c>
      <c r="E52" s="4">
        <v>350</v>
      </c>
      <c r="H52" s="4">
        <f>C52</f>
        <v>2</v>
      </c>
      <c r="I52" s="4">
        <f>D52-C52</f>
        <v>103</v>
      </c>
      <c r="J52" s="4">
        <f t="shared" si="0"/>
        <v>245</v>
      </c>
    </row>
    <row r="53" spans="1:10" x14ac:dyDescent="0.2">
      <c r="A53" s="98" t="s">
        <v>183</v>
      </c>
      <c r="C53" s="4">
        <v>10</v>
      </c>
      <c r="D53" s="4">
        <f>E53*0.3</f>
        <v>405</v>
      </c>
      <c r="E53" s="4">
        <v>1350</v>
      </c>
      <c r="H53" s="4">
        <f>C53</f>
        <v>10</v>
      </c>
      <c r="I53" s="4">
        <f>D53-C53</f>
        <v>395</v>
      </c>
      <c r="J53" s="4">
        <f t="shared" si="0"/>
        <v>945</v>
      </c>
    </row>
    <row r="58" spans="1:10" x14ac:dyDescent="0.2">
      <c r="C58" s="4" t="s">
        <v>178</v>
      </c>
      <c r="D58" s="4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H58"/>
  <sheetViews>
    <sheetView workbookViewId="0">
      <selection activeCell="B61" sqref="B61"/>
    </sheetView>
  </sheetViews>
  <sheetFormatPr defaultColWidth="8.85546875" defaultRowHeight="12.75" x14ac:dyDescent="0.2"/>
  <cols>
    <col min="1" max="1" width="20.28515625" style="4" customWidth="1"/>
    <col min="2" max="2" width="23.140625" style="4" customWidth="1"/>
    <col min="3" max="3" width="21" style="4" customWidth="1"/>
    <col min="4" max="4" width="27.7109375" style="4" customWidth="1"/>
    <col min="5" max="5" width="8.85546875" style="4" customWidth="1"/>
    <col min="6" max="6" width="33.28515625" style="4" customWidth="1"/>
    <col min="7" max="7" width="8.85546875" style="4" customWidth="1"/>
    <col min="8" max="8" width="20" style="4" customWidth="1"/>
    <col min="9" max="9" width="8.85546875" style="4" customWidth="1"/>
    <col min="10" max="16384" width="8.85546875" style="4"/>
  </cols>
  <sheetData>
    <row r="1" spans="1:8" x14ac:dyDescent="0.2">
      <c r="A1" s="55" t="s">
        <v>185</v>
      </c>
    </row>
    <row r="5" spans="1:8" x14ac:dyDescent="0.2">
      <c r="A5" s="4">
        <v>0</v>
      </c>
      <c r="B5" s="119" t="s">
        <v>186</v>
      </c>
      <c r="C5" s="4">
        <v>4</v>
      </c>
      <c r="D5" s="98" t="s">
        <v>187</v>
      </c>
      <c r="F5" s="119"/>
      <c r="H5" s="98"/>
    </row>
    <row r="6" spans="1:8" x14ac:dyDescent="0.2">
      <c r="A6" s="4">
        <f ca="1">OFFSET(CalData!A10,$A$5*50,0)</f>
        <v>0</v>
      </c>
      <c r="B6" s="4">
        <f>CalData!F10</f>
        <v>424.28571428571428</v>
      </c>
      <c r="C6" s="6">
        <v>0</v>
      </c>
      <c r="D6" s="4">
        <f>CalData!F209</f>
        <v>312.50000000000006</v>
      </c>
      <c r="G6" s="6"/>
    </row>
    <row r="7" spans="1:8" x14ac:dyDescent="0.2">
      <c r="A7" s="4">
        <f ca="1">OFFSET(CalData!A11,$A$5*50,0)</f>
        <v>200</v>
      </c>
      <c r="B7" s="4">
        <f>CalData!F11</f>
        <v>377.14285714285717</v>
      </c>
      <c r="C7" s="6">
        <v>500</v>
      </c>
      <c r="D7" s="4">
        <f>CalData!F210</f>
        <v>291.26213592233006</v>
      </c>
      <c r="G7" s="6"/>
    </row>
    <row r="8" spans="1:8" x14ac:dyDescent="0.2">
      <c r="A8" s="4">
        <f ca="1">OFFSET(CalData!A12,$A$5*50,0)</f>
        <v>400</v>
      </c>
      <c r="B8" s="4">
        <f>CalData!F12</f>
        <v>360</v>
      </c>
      <c r="C8" s="6">
        <v>1000</v>
      </c>
      <c r="D8" s="4">
        <f>CalData!F211</f>
        <v>273.97260273972603</v>
      </c>
      <c r="G8" s="6"/>
    </row>
    <row r="9" spans="1:8" x14ac:dyDescent="0.2">
      <c r="A9" s="4">
        <f ca="1">OFFSET(CalData!A13,$A$5*50,0)</f>
        <v>600</v>
      </c>
      <c r="B9" s="4">
        <f>CalData!F13</f>
        <v>355.71428571428572</v>
      </c>
      <c r="C9" s="6">
        <v>1500</v>
      </c>
      <c r="D9" s="4">
        <f>CalData!F212</f>
        <v>270.27027027027026</v>
      </c>
      <c r="G9" s="6"/>
    </row>
    <row r="10" spans="1:8" x14ac:dyDescent="0.2">
      <c r="A10" s="4">
        <f ca="1">OFFSET(CalData!A14,$A$5*50,0)</f>
        <v>800</v>
      </c>
      <c r="B10" s="4">
        <f>CalData!F14</f>
        <v>347.14285714285717</v>
      </c>
      <c r="C10" s="6">
        <v>2000</v>
      </c>
      <c r="D10" s="4">
        <f>CalData!F213</f>
        <v>259.74025974025972</v>
      </c>
      <c r="G10" s="6"/>
    </row>
    <row r="11" spans="1:8" x14ac:dyDescent="0.2">
      <c r="A11" s="4">
        <f ca="1">OFFSET(CalData!A15,$A$5*50,0)</f>
        <v>1000</v>
      </c>
      <c r="B11" s="4">
        <f>CalData!F15</f>
        <v>342.85714285714283</v>
      </c>
      <c r="C11" s="6">
        <v>2500</v>
      </c>
      <c r="D11" s="4">
        <f>CalData!F214</f>
        <v>250.00000000000003</v>
      </c>
      <c r="G11" s="6"/>
    </row>
    <row r="12" spans="1:8" x14ac:dyDescent="0.2">
      <c r="A12" s="4">
        <f ca="1">OFFSET(CalData!A16,$A$5*50,0)</f>
        <v>1200</v>
      </c>
      <c r="B12" s="4">
        <f>CalData!F16</f>
        <v>334.28571428571428</v>
      </c>
      <c r="C12" s="6">
        <v>3000</v>
      </c>
      <c r="D12" s="4">
        <f>CalData!F215</f>
        <v>241.93548387096774</v>
      </c>
      <c r="G12" s="6"/>
    </row>
    <row r="13" spans="1:8" x14ac:dyDescent="0.2">
      <c r="A13" s="4">
        <f ca="1">OFFSET(CalData!A17,$A$5*50,0)</f>
        <v>1400</v>
      </c>
      <c r="B13" s="4">
        <f>CalData!F17</f>
        <v>325.71428571428572</v>
      </c>
      <c r="C13" s="6">
        <v>3500</v>
      </c>
      <c r="D13" s="4">
        <f>CalData!F216</f>
        <v>230.76923076923077</v>
      </c>
      <c r="G13" s="6"/>
    </row>
    <row r="14" spans="1:8" x14ac:dyDescent="0.2">
      <c r="A14" s="4">
        <f ca="1">OFFSET(CalData!A18,$A$5*50,0)</f>
        <v>1600</v>
      </c>
      <c r="B14" s="4">
        <f>CalData!F18</f>
        <v>317.14285714285717</v>
      </c>
      <c r="C14" s="6">
        <v>4000</v>
      </c>
      <c r="D14" s="4">
        <f>CalData!F217</f>
        <v>219.78021978021977</v>
      </c>
      <c r="G14" s="6"/>
    </row>
    <row r="15" spans="1:8" x14ac:dyDescent="0.2">
      <c r="A15" s="4">
        <f ca="1">OFFSET(CalData!A19,$A$5*50,0)</f>
        <v>1800</v>
      </c>
      <c r="B15" s="4">
        <f>CalData!F19</f>
        <v>310.71428571428572</v>
      </c>
      <c r="C15" s="6">
        <v>4350</v>
      </c>
      <c r="D15" s="4">
        <f>CalData!F218</f>
        <v>212.76595744680853</v>
      </c>
      <c r="G15" s="6"/>
    </row>
    <row r="16" spans="1:8" x14ac:dyDescent="0.2">
      <c r="A16" s="4">
        <f ca="1">OFFSET(CalData!A20,$A$5*50,0)</f>
        <v>2000</v>
      </c>
      <c r="B16" s="4">
        <f>CalData!F20</f>
        <v>300</v>
      </c>
      <c r="G16" s="6"/>
    </row>
    <row r="17" spans="1:2" x14ac:dyDescent="0.2">
      <c r="A17" s="4">
        <f ca="1">OFFSET(CalData!A21,$A$5*50,0)</f>
        <v>2200</v>
      </c>
      <c r="B17" s="4">
        <f>CalData!F21</f>
        <v>297.85714285714283</v>
      </c>
    </row>
    <row r="18" spans="1:2" x14ac:dyDescent="0.2">
      <c r="A18" s="4">
        <f ca="1">OFFSET(CalData!A22,$A$5*50,0)</f>
        <v>2400</v>
      </c>
      <c r="B18" s="4">
        <f>CalData!F22</f>
        <v>282.85714285714283</v>
      </c>
    </row>
    <row r="19" spans="1:2" x14ac:dyDescent="0.2">
      <c r="A19" s="4">
        <f ca="1">OFFSET(CalData!A23,$A$5*50,0)</f>
        <v>2600</v>
      </c>
      <c r="B19" s="4">
        <f>CalData!F23</f>
        <v>278.57142857142856</v>
      </c>
    </row>
    <row r="20" spans="1:2" x14ac:dyDescent="0.2">
      <c r="A20" s="4">
        <f ca="1">OFFSET(CalData!A24,$A$5*50,0)</f>
        <v>2800</v>
      </c>
      <c r="B20" s="4">
        <f>CalData!F24</f>
        <v>278.57142857142856</v>
      </c>
    </row>
    <row r="21" spans="1:2" x14ac:dyDescent="0.2">
      <c r="A21" s="4">
        <f ca="1">OFFSET(CalData!A25,$A$5*50,0)</f>
        <v>3000</v>
      </c>
      <c r="B21" s="4">
        <f>CalData!F25</f>
        <v>278.57142857142856</v>
      </c>
    </row>
    <row r="40" spans="1:6" x14ac:dyDescent="0.2">
      <c r="A40" s="56" t="s">
        <v>188</v>
      </c>
    </row>
    <row r="42" spans="1:6" x14ac:dyDescent="0.2">
      <c r="B42" s="120" t="s">
        <v>189</v>
      </c>
      <c r="D42" s="98" t="s">
        <v>190</v>
      </c>
      <c r="F42" s="119" t="s">
        <v>191</v>
      </c>
    </row>
    <row r="43" spans="1:6" x14ac:dyDescent="0.2">
      <c r="A43" s="4">
        <v>0</v>
      </c>
      <c r="B43" s="4">
        <f>CalData!F59</f>
        <v>891.42857142857144</v>
      </c>
      <c r="C43" s="4">
        <f>CalData!A259</f>
        <v>0</v>
      </c>
      <c r="D43" s="4">
        <f>CalData!F259</f>
        <v>588.23529411764707</v>
      </c>
      <c r="E43" s="4">
        <f>CalData!A309</f>
        <v>0</v>
      </c>
      <c r="F43" s="4">
        <f>CalData!F309</f>
        <v>1700</v>
      </c>
    </row>
    <row r="44" spans="1:6" x14ac:dyDescent="0.2">
      <c r="A44" s="4">
        <v>200</v>
      </c>
      <c r="B44" s="4">
        <f>CalData!F60</f>
        <v>745.71428571428567</v>
      </c>
      <c r="C44" s="4">
        <f>CalData!A260</f>
        <v>500</v>
      </c>
      <c r="D44" s="4">
        <f>CalData!F260</f>
        <v>517.24137931034488</v>
      </c>
      <c r="E44" s="4">
        <f>CalData!A310</f>
        <v>100</v>
      </c>
      <c r="F44" s="4">
        <f>CalData!F310</f>
        <v>1680</v>
      </c>
    </row>
    <row r="45" spans="1:6" x14ac:dyDescent="0.2">
      <c r="A45" s="4">
        <v>400</v>
      </c>
      <c r="B45" s="4">
        <f>CalData!F61</f>
        <v>694.28571428571433</v>
      </c>
      <c r="C45" s="4">
        <f>CalData!A261</f>
        <v>1000</v>
      </c>
      <c r="D45" s="4">
        <f>CalData!F261</f>
        <v>495.86776859504135</v>
      </c>
      <c r="E45" s="4">
        <f>CalData!A311</f>
        <v>200</v>
      </c>
      <c r="F45" s="4">
        <f>CalData!F311</f>
        <v>1600</v>
      </c>
    </row>
    <row r="46" spans="1:6" x14ac:dyDescent="0.2">
      <c r="A46" s="4">
        <v>600</v>
      </c>
      <c r="B46" s="4">
        <f>CalData!F62</f>
        <v>660</v>
      </c>
      <c r="C46" s="4">
        <f>CalData!A262</f>
        <v>1500</v>
      </c>
      <c r="D46" s="4">
        <f>CalData!F262</f>
        <v>458.01526717557255</v>
      </c>
      <c r="E46" s="4">
        <f>CalData!A312</f>
        <v>300</v>
      </c>
      <c r="F46" s="4">
        <f>CalData!F312</f>
        <v>1520</v>
      </c>
    </row>
    <row r="47" spans="1:6" x14ac:dyDescent="0.2">
      <c r="A47" s="4">
        <v>800</v>
      </c>
      <c r="B47" s="4">
        <f>CalData!F63</f>
        <v>617.14285714285711</v>
      </c>
      <c r="C47" s="4">
        <f>CalData!A263</f>
        <v>2000</v>
      </c>
      <c r="D47" s="4">
        <f>CalData!F263</f>
        <v>428.57142857142861</v>
      </c>
      <c r="E47" s="4">
        <f>CalData!A313</f>
        <v>400</v>
      </c>
      <c r="F47" s="4">
        <f>CalData!F313</f>
        <v>1480</v>
      </c>
    </row>
    <row r="48" spans="1:6" x14ac:dyDescent="0.2">
      <c r="A48" s="4">
        <v>1000</v>
      </c>
      <c r="B48" s="4">
        <f>CalData!F64</f>
        <v>608.57142857142856</v>
      </c>
      <c r="C48" s="4">
        <f>CalData!A264</f>
        <v>2500</v>
      </c>
      <c r="D48" s="4">
        <f>CalData!F264</f>
        <v>384.61538461538464</v>
      </c>
      <c r="E48" s="4">
        <f>CalData!A314</f>
        <v>500</v>
      </c>
      <c r="F48" s="4">
        <f>CalData!F314</f>
        <v>1470</v>
      </c>
    </row>
    <row r="49" spans="1:6" x14ac:dyDescent="0.2">
      <c r="A49" s="4">
        <v>1200</v>
      </c>
      <c r="B49" s="4">
        <f>CalData!F65</f>
        <v>600</v>
      </c>
      <c r="C49" s="4">
        <f>CalData!A265</f>
        <v>3000</v>
      </c>
      <c r="D49" s="4">
        <f>CalData!F265</f>
        <v>350.87719298245611</v>
      </c>
      <c r="E49" s="4">
        <f>CalData!A315</f>
        <v>600</v>
      </c>
      <c r="F49" s="4">
        <f>CalData!F315</f>
        <v>1440</v>
      </c>
    </row>
    <row r="50" spans="1:6" x14ac:dyDescent="0.2">
      <c r="A50" s="4">
        <v>1400</v>
      </c>
      <c r="B50" s="4">
        <f>CalData!F66</f>
        <v>574.28571428571433</v>
      </c>
      <c r="C50" s="4">
        <f>CalData!A266</f>
        <v>3500</v>
      </c>
      <c r="D50" s="4">
        <f>CalData!F266</f>
        <v>319.14893617021278</v>
      </c>
      <c r="E50" s="4">
        <f>CalData!A316</f>
        <v>700</v>
      </c>
      <c r="F50" s="4">
        <v>1420</v>
      </c>
    </row>
    <row r="51" spans="1:6" x14ac:dyDescent="0.2">
      <c r="A51" s="4">
        <v>1600</v>
      </c>
      <c r="B51" s="4">
        <f>CalData!F67</f>
        <v>548.57142857142856</v>
      </c>
      <c r="C51" s="4">
        <f>CalData!A267</f>
        <v>4000</v>
      </c>
      <c r="D51" s="4">
        <f>CalData!F267</f>
        <v>295.56650246305418</v>
      </c>
      <c r="E51" s="4">
        <f>CalData!A317</f>
        <v>800</v>
      </c>
      <c r="F51" s="4">
        <v>1400</v>
      </c>
    </row>
    <row r="52" spans="1:6" x14ac:dyDescent="0.2">
      <c r="A52" s="4">
        <v>1800</v>
      </c>
      <c r="B52" s="4">
        <f>CalData!F68</f>
        <v>531.42857142857144</v>
      </c>
      <c r="C52" s="4">
        <f>CalData!A268</f>
        <v>4350</v>
      </c>
      <c r="D52" s="4">
        <f>CalData!F268</f>
        <v>277.77777777777777</v>
      </c>
      <c r="E52" s="4">
        <f>CalData!A318</f>
        <v>900</v>
      </c>
      <c r="F52" s="4">
        <v>1380</v>
      </c>
    </row>
    <row r="53" spans="1:6" x14ac:dyDescent="0.2">
      <c r="A53" s="4">
        <v>2000</v>
      </c>
      <c r="B53" s="4">
        <f>CalData!F69</f>
        <v>514.28571428571433</v>
      </c>
      <c r="E53" s="4">
        <f>CalData!A319</f>
        <v>1000</v>
      </c>
      <c r="F53" s="4">
        <f>CalData!F319</f>
        <v>1360</v>
      </c>
    </row>
    <row r="54" spans="1:6" x14ac:dyDescent="0.2">
      <c r="A54" s="4">
        <v>2200</v>
      </c>
      <c r="B54" s="4">
        <f>CalData!F70</f>
        <v>505.71428571428572</v>
      </c>
    </row>
    <row r="55" spans="1:6" x14ac:dyDescent="0.2">
      <c r="A55" s="4">
        <v>2400</v>
      </c>
      <c r="B55" s="4">
        <f>CalData!F71</f>
        <v>488.57142857142856</v>
      </c>
    </row>
    <row r="56" spans="1:6" x14ac:dyDescent="0.2">
      <c r="A56" s="4">
        <v>2600</v>
      </c>
      <c r="B56" s="4">
        <f>CalData!F72</f>
        <v>467.14285714285717</v>
      </c>
    </row>
    <row r="57" spans="1:6" x14ac:dyDescent="0.2">
      <c r="A57" s="4">
        <v>2800</v>
      </c>
      <c r="B57" s="4">
        <f>CalData!F73</f>
        <v>450</v>
      </c>
    </row>
    <row r="58" spans="1:6" x14ac:dyDescent="0.2">
      <c r="A58" s="4">
        <v>3000</v>
      </c>
      <c r="B58" s="4">
        <f>CalData!F74</f>
        <v>428.57142857142856</v>
      </c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F419"/>
  <sheetViews>
    <sheetView topLeftCell="A46" workbookViewId="0">
      <selection activeCell="G80" sqref="G80"/>
    </sheetView>
  </sheetViews>
  <sheetFormatPr defaultColWidth="8.85546875" defaultRowHeight="12.75" x14ac:dyDescent="0.2"/>
  <cols>
    <col min="1" max="1" width="16.85546875" style="4" customWidth="1"/>
    <col min="2" max="2" width="17.42578125" style="4" customWidth="1"/>
    <col min="3" max="5" width="8.85546875" style="4" customWidth="1"/>
    <col min="6" max="6" width="13.42578125" style="4" customWidth="1"/>
    <col min="7" max="7" width="10" style="4" customWidth="1"/>
    <col min="8" max="8" width="8.85546875" style="4" customWidth="1"/>
    <col min="9" max="9" width="18.42578125" style="4" customWidth="1"/>
    <col min="10" max="18" width="8.85546875" style="4"/>
    <col min="19" max="21" width="8.85546875" style="4" customWidth="1"/>
    <col min="22" max="22" width="33.85546875" style="4" customWidth="1"/>
    <col min="23" max="23" width="20.5703125" style="4" customWidth="1"/>
    <col min="24" max="27" width="8.85546875" style="4" customWidth="1"/>
    <col min="28" max="16384" width="8.85546875" style="4"/>
  </cols>
  <sheetData>
    <row r="1" spans="1:28" x14ac:dyDescent="0.2">
      <c r="A1" s="119" t="s">
        <v>192</v>
      </c>
      <c r="B1" s="119" t="s">
        <v>186</v>
      </c>
      <c r="F1" s="57">
        <f>F8</f>
        <v>321.42857142857144</v>
      </c>
      <c r="G1" s="57">
        <f>G8</f>
        <v>6.2</v>
      </c>
      <c r="H1" s="57">
        <f>IF(E5=12,16,32)</f>
        <v>16</v>
      </c>
      <c r="I1" s="4">
        <f>B7</f>
        <v>3000</v>
      </c>
      <c r="U1" s="121" t="s">
        <v>193</v>
      </c>
      <c r="V1" s="15"/>
      <c r="W1" s="15" t="str">
        <f>U1</f>
        <v>Data Summary Table</v>
      </c>
      <c r="X1" s="15"/>
      <c r="Y1" s="15"/>
      <c r="Z1" s="15"/>
    </row>
    <row r="2" spans="1:28" x14ac:dyDescent="0.2">
      <c r="A2" s="119" t="s">
        <v>194</v>
      </c>
      <c r="B2" s="119" t="s">
        <v>195</v>
      </c>
      <c r="F2" s="98">
        <f>MATCH(B8,A10:A40,1)</f>
        <v>8</v>
      </c>
      <c r="U2" s="122" t="s">
        <v>196</v>
      </c>
      <c r="V2" s="122" t="s">
        <v>197</v>
      </c>
      <c r="W2" s="58" t="str">
        <f t="shared" ref="W2:W11" si="0">U2</f>
        <v>Set</v>
      </c>
      <c r="X2" s="122" t="s">
        <v>198</v>
      </c>
      <c r="Y2" s="122" t="s">
        <v>199</v>
      </c>
      <c r="Z2" s="122" t="s">
        <v>200</v>
      </c>
      <c r="AA2" s="123" t="s">
        <v>201</v>
      </c>
      <c r="AB2" s="123" t="s">
        <v>202</v>
      </c>
    </row>
    <row r="3" spans="1:28" x14ac:dyDescent="0.2">
      <c r="A3" s="119" t="s">
        <v>203</v>
      </c>
      <c r="B3" s="119" t="s">
        <v>204</v>
      </c>
      <c r="U3" s="4">
        <v>0</v>
      </c>
      <c r="V3" s="119" t="str">
        <f ca="1">OFFSET($B$1,U3*50,0)</f>
        <v>12V-Single Head COMET</v>
      </c>
      <c r="W3" s="4">
        <f t="shared" si="0"/>
        <v>0</v>
      </c>
      <c r="X3" s="4">
        <f>(U3*50)+1</f>
        <v>1</v>
      </c>
      <c r="Y3" s="4">
        <f ca="1">OFFSET($F$1,($U3*50),0)</f>
        <v>321.42857142857144</v>
      </c>
      <c r="Z3" s="4">
        <f ca="1">OFFSET($F$1,($U3*50),1)</f>
        <v>6.2</v>
      </c>
      <c r="AA3" s="4">
        <f ca="1">OFFSET($F$1,($U3*50),2)</f>
        <v>16</v>
      </c>
      <c r="AB3" s="4">
        <f ca="1">OFFSET($F$1,($U3*50),3)</f>
        <v>3000</v>
      </c>
    </row>
    <row r="4" spans="1:28" x14ac:dyDescent="0.2">
      <c r="A4" s="119" t="s">
        <v>205</v>
      </c>
      <c r="B4" s="119" t="s">
        <v>206</v>
      </c>
      <c r="U4" s="4">
        <v>1</v>
      </c>
      <c r="V4" s="120" t="str">
        <f ca="1">OFFSET($B$1,(U4*50)-1,0)</f>
        <v>12V-Dual Head COMET</v>
      </c>
      <c r="W4" s="4">
        <f t="shared" si="0"/>
        <v>1</v>
      </c>
      <c r="X4" s="4">
        <f>(U4*50)</f>
        <v>50</v>
      </c>
      <c r="Y4" s="4">
        <f ca="1">OFFSET($F$1,($U4*50)-1,0)</f>
        <v>561.42857142857144</v>
      </c>
      <c r="Z4" s="4">
        <f ca="1">OFFSET($F$1,($U4*50)-1,1)</f>
        <v>9.1000000000000014</v>
      </c>
      <c r="AA4" s="4">
        <f ca="1">OFFSET($F$1,($U4*50)-1,2)</f>
        <v>16</v>
      </c>
      <c r="AB4" s="4">
        <f ca="1">OFFSET($F$1,($U4*50)-1,3)</f>
        <v>3000</v>
      </c>
    </row>
    <row r="5" spans="1:28" x14ac:dyDescent="0.2">
      <c r="A5" s="119" t="s">
        <v>207</v>
      </c>
      <c r="B5" s="119" t="s">
        <v>208</v>
      </c>
      <c r="C5" s="98" t="s">
        <v>209</v>
      </c>
      <c r="D5" s="98"/>
      <c r="E5" s="59">
        <v>12</v>
      </c>
      <c r="G5" s="4" t="s">
        <v>210</v>
      </c>
      <c r="U5" s="4">
        <v>2</v>
      </c>
      <c r="V5" s="119" t="str">
        <f t="shared" ref="V5:V11" ca="1" si="1">OFFSET($B$1,(U5*50)-1,0)</f>
        <v>24V-Single Head COMET</v>
      </c>
      <c r="W5" s="4">
        <f t="shared" si="0"/>
        <v>2</v>
      </c>
      <c r="X5" s="4">
        <f t="shared" ref="X5:X11" si="2">(U5*50)</f>
        <v>100</v>
      </c>
      <c r="Y5" s="4">
        <f t="shared" ref="Y5:Y11" ca="1" si="3">OFFSET($F$1,($U5*50)-1,0)</f>
        <v>321.42857142857144</v>
      </c>
      <c r="Z5" s="4">
        <f t="shared" ref="Z5:Z11" ca="1" si="4">OFFSET($F$1,($U5*50)-1,1)</f>
        <v>3.1</v>
      </c>
      <c r="AA5" s="4">
        <f t="shared" ref="AA5:AA11" ca="1" si="5">OFFSET($F$1,($U5*50)-1,2)</f>
        <v>32</v>
      </c>
      <c r="AB5" s="4">
        <f t="shared" ref="AB5:AB11" ca="1" si="6">OFFSET($F$1,($U5*50)-1,3)</f>
        <v>3000</v>
      </c>
    </row>
    <row r="6" spans="1:28" x14ac:dyDescent="0.2">
      <c r="A6" s="119" t="s">
        <v>211</v>
      </c>
      <c r="B6" s="55">
        <v>0.15</v>
      </c>
      <c r="C6" s="98" t="s">
        <v>212</v>
      </c>
      <c r="D6" s="98"/>
      <c r="U6" s="4">
        <v>3</v>
      </c>
      <c r="V6" s="120" t="str">
        <f t="shared" ca="1" si="1"/>
        <v>24V-Dual Head COMET</v>
      </c>
      <c r="W6" s="4">
        <f t="shared" si="0"/>
        <v>3</v>
      </c>
      <c r="X6" s="4">
        <f t="shared" si="2"/>
        <v>150</v>
      </c>
      <c r="Y6" s="4">
        <f t="shared" ca="1" si="3"/>
        <v>561.42857142857144</v>
      </c>
      <c r="Z6" s="4">
        <f t="shared" ca="1" si="4"/>
        <v>4.5500000000000007</v>
      </c>
      <c r="AA6" s="4">
        <f t="shared" ca="1" si="5"/>
        <v>32</v>
      </c>
      <c r="AB6" s="4">
        <f t="shared" ca="1" si="6"/>
        <v>3000</v>
      </c>
    </row>
    <row r="7" spans="1:28" x14ac:dyDescent="0.2">
      <c r="A7" s="120" t="s">
        <v>202</v>
      </c>
      <c r="B7" s="56">
        <v>3000</v>
      </c>
      <c r="C7" s="120" t="s">
        <v>213</v>
      </c>
      <c r="F7" s="98" t="s">
        <v>199</v>
      </c>
      <c r="G7" s="98" t="s">
        <v>200</v>
      </c>
      <c r="U7" s="4">
        <v>4</v>
      </c>
      <c r="V7" s="119" t="str">
        <f t="shared" ca="1" si="1"/>
        <v>12V-Single Head-HP-COMET</v>
      </c>
      <c r="W7" s="4">
        <f t="shared" si="0"/>
        <v>4</v>
      </c>
      <c r="X7" s="4">
        <f t="shared" si="2"/>
        <v>200</v>
      </c>
      <c r="Y7" s="4">
        <f t="shared" ca="1" si="3"/>
        <v>270.27027027027026</v>
      </c>
      <c r="Z7" s="4">
        <f t="shared" ca="1" si="4"/>
        <v>5.8</v>
      </c>
      <c r="AA7" s="4">
        <f t="shared" ca="1" si="5"/>
        <v>16</v>
      </c>
      <c r="AB7" s="4">
        <f t="shared" ca="1" si="6"/>
        <v>4350</v>
      </c>
    </row>
    <row r="8" spans="1:28" x14ac:dyDescent="0.2">
      <c r="A8" s="98" t="s">
        <v>214</v>
      </c>
      <c r="B8" s="60">
        <f>Pavg</f>
        <v>1500</v>
      </c>
      <c r="C8" s="98" t="s">
        <v>213</v>
      </c>
      <c r="D8" s="98" t="s">
        <v>215</v>
      </c>
      <c r="F8" s="60">
        <f>(B8- INDEX(A10:A40,F2,1))/( INDEX(A10:A40,F2+1,1)- INDEX($A10:A40,F2,1))*( INDEX(F10:F40,F2+1,1)- INDEX(F10:F40,F2,1))+ INDEX(F10:F40,F2,1)</f>
        <v>321.42857142857144</v>
      </c>
      <c r="G8" s="60">
        <f>(B8- INDEX(A10:A40,F2,1))/( INDEX(A10:A40,F2+1,1)- INDEX(A10:A40,F2,1))*( INDEX(G10:G40,F2+1,1)- INDEX(G10:G40,F2,1))+ INDEX(G10:G40,F2,1)</f>
        <v>6.2</v>
      </c>
      <c r="U8" s="4">
        <v>5</v>
      </c>
      <c r="V8" s="120" t="str">
        <f t="shared" ca="1" si="1"/>
        <v>12V-Dual Head-HP-COMET</v>
      </c>
      <c r="W8" s="4">
        <f t="shared" si="0"/>
        <v>5</v>
      </c>
      <c r="X8" s="4">
        <f t="shared" si="2"/>
        <v>250</v>
      </c>
      <c r="Y8" s="4">
        <f t="shared" ca="1" si="3"/>
        <v>458.01526717557255</v>
      </c>
      <c r="Z8" s="4">
        <f t="shared" ca="1" si="4"/>
        <v>8.1999999999999993</v>
      </c>
      <c r="AA8" s="4">
        <f t="shared" ca="1" si="5"/>
        <v>16</v>
      </c>
      <c r="AB8" s="4">
        <f t="shared" ca="1" si="6"/>
        <v>4350</v>
      </c>
    </row>
    <row r="9" spans="1:28" ht="27" customHeight="1" x14ac:dyDescent="0.2">
      <c r="A9" s="124" t="s">
        <v>216</v>
      </c>
      <c r="B9" s="98" t="s">
        <v>217</v>
      </c>
      <c r="C9" s="98" t="s">
        <v>217</v>
      </c>
      <c r="D9" s="61">
        <v>14</v>
      </c>
      <c r="E9" s="124" t="s">
        <v>218</v>
      </c>
      <c r="F9" s="124" t="s">
        <v>219</v>
      </c>
      <c r="G9" s="124" t="s">
        <v>220</v>
      </c>
      <c r="U9" s="4">
        <v>6</v>
      </c>
      <c r="V9" s="125" t="str">
        <f t="shared" ca="1" si="1"/>
        <v xml:space="preserve">12V-Dual Head High Vol COMET </v>
      </c>
      <c r="W9" s="4">
        <f t="shared" si="0"/>
        <v>6</v>
      </c>
      <c r="X9" s="4">
        <f t="shared" si="2"/>
        <v>300</v>
      </c>
      <c r="Y9" s="4">
        <f t="shared" ca="1" si="3"/>
        <v>2040</v>
      </c>
      <c r="Z9" s="4">
        <f t="shared" ca="1" si="4"/>
        <v>19.799999999999997</v>
      </c>
      <c r="AA9" s="4">
        <f t="shared" ca="1" si="5"/>
        <v>16</v>
      </c>
      <c r="AB9" s="4">
        <f t="shared" ca="1" si="6"/>
        <v>1000</v>
      </c>
    </row>
    <row r="10" spans="1:28" x14ac:dyDescent="0.2">
      <c r="A10" s="61">
        <v>0</v>
      </c>
      <c r="B10" s="61">
        <v>137</v>
      </c>
      <c r="C10" s="61">
        <v>38</v>
      </c>
      <c r="D10" s="98">
        <f>D9</f>
        <v>14</v>
      </c>
      <c r="E10" s="4">
        <f>B10-C10</f>
        <v>99</v>
      </c>
      <c r="F10" s="4">
        <f>E10*60/D10</f>
        <v>424.28571428571428</v>
      </c>
      <c r="G10" s="62">
        <v>2.4</v>
      </c>
      <c r="U10" s="4">
        <v>7</v>
      </c>
      <c r="V10" s="120" t="str">
        <f t="shared" ca="1" si="1"/>
        <v xml:space="preserve">24V-Dual Head High Vol COMET </v>
      </c>
      <c r="W10" s="4">
        <f t="shared" si="0"/>
        <v>7</v>
      </c>
      <c r="X10" s="4">
        <f t="shared" si="2"/>
        <v>350</v>
      </c>
      <c r="Y10" s="4">
        <f t="shared" ca="1" si="3"/>
        <v>2040</v>
      </c>
      <c r="Z10" s="4">
        <f t="shared" ca="1" si="4"/>
        <v>9.8999999999999986</v>
      </c>
      <c r="AA10" s="4">
        <f t="shared" ca="1" si="5"/>
        <v>32</v>
      </c>
      <c r="AB10" s="4">
        <f t="shared" ca="1" si="6"/>
        <v>1000</v>
      </c>
    </row>
    <row r="11" spans="1:28" x14ac:dyDescent="0.2">
      <c r="A11" s="61">
        <v>200</v>
      </c>
      <c r="B11" s="61">
        <v>137</v>
      </c>
      <c r="C11" s="61">
        <v>49</v>
      </c>
      <c r="D11" s="98">
        <f t="shared" ref="D11:D25" si="7">D10</f>
        <v>14</v>
      </c>
      <c r="E11" s="4">
        <f t="shared" ref="E11:E25" si="8">B11-C11</f>
        <v>88</v>
      </c>
      <c r="F11" s="4">
        <f t="shared" ref="F11:F25" si="9">E11*60/D11</f>
        <v>377.14285714285717</v>
      </c>
      <c r="G11" s="62">
        <v>3</v>
      </c>
      <c r="U11" s="4">
        <v>8</v>
      </c>
      <c r="V11" s="119" t="str">
        <f t="shared" ca="1" si="1"/>
        <v xml:space="preserve">12V-Single Head High Vol TITAN </v>
      </c>
      <c r="W11" s="4">
        <f t="shared" si="0"/>
        <v>8</v>
      </c>
      <c r="X11" s="4">
        <f t="shared" si="2"/>
        <v>400</v>
      </c>
      <c r="Y11" s="4">
        <f t="shared" ca="1" si="3"/>
        <v>180</v>
      </c>
      <c r="Z11" s="4">
        <f t="shared" ca="1" si="4"/>
        <v>3.84</v>
      </c>
      <c r="AA11" s="4">
        <f t="shared" ca="1" si="5"/>
        <v>16</v>
      </c>
      <c r="AB11" s="4">
        <f t="shared" ca="1" si="6"/>
        <v>1500</v>
      </c>
    </row>
    <row r="12" spans="1:28" x14ac:dyDescent="0.2">
      <c r="A12" s="61">
        <v>400</v>
      </c>
      <c r="B12" s="61">
        <v>137</v>
      </c>
      <c r="C12" s="61">
        <v>53</v>
      </c>
      <c r="D12" s="98">
        <f t="shared" si="7"/>
        <v>14</v>
      </c>
      <c r="E12" s="4">
        <f t="shared" si="8"/>
        <v>84</v>
      </c>
      <c r="F12" s="4">
        <f t="shared" si="9"/>
        <v>360</v>
      </c>
      <c r="G12" s="62">
        <v>3.6</v>
      </c>
      <c r="V12" s="120"/>
    </row>
    <row r="13" spans="1:28" x14ac:dyDescent="0.2">
      <c r="A13" s="61">
        <v>600</v>
      </c>
      <c r="B13" s="61">
        <v>137</v>
      </c>
      <c r="C13" s="61">
        <v>54</v>
      </c>
      <c r="D13" s="98">
        <f t="shared" si="7"/>
        <v>14</v>
      </c>
      <c r="E13" s="4">
        <f t="shared" si="8"/>
        <v>83</v>
      </c>
      <c r="F13" s="4">
        <f t="shared" si="9"/>
        <v>355.71428571428572</v>
      </c>
      <c r="G13" s="62">
        <v>4</v>
      </c>
      <c r="V13" s="98"/>
    </row>
    <row r="14" spans="1:28" x14ac:dyDescent="0.2">
      <c r="A14" s="61">
        <v>800</v>
      </c>
      <c r="B14" s="61">
        <v>137</v>
      </c>
      <c r="C14" s="61">
        <v>56</v>
      </c>
      <c r="D14" s="98">
        <f t="shared" si="7"/>
        <v>14</v>
      </c>
      <c r="E14" s="4">
        <f t="shared" si="8"/>
        <v>81</v>
      </c>
      <c r="F14" s="4">
        <f t="shared" si="9"/>
        <v>347.14285714285717</v>
      </c>
      <c r="G14" s="62">
        <v>4.5999999999999996</v>
      </c>
      <c r="V14" s="98"/>
    </row>
    <row r="15" spans="1:28" x14ac:dyDescent="0.2">
      <c r="A15" s="61">
        <v>1000</v>
      </c>
      <c r="B15" s="61">
        <v>137</v>
      </c>
      <c r="C15" s="61">
        <v>57</v>
      </c>
      <c r="D15" s="98">
        <f t="shared" si="7"/>
        <v>14</v>
      </c>
      <c r="E15" s="4">
        <f t="shared" si="8"/>
        <v>80</v>
      </c>
      <c r="F15" s="4">
        <f t="shared" si="9"/>
        <v>342.85714285714283</v>
      </c>
      <c r="G15" s="62">
        <v>5</v>
      </c>
      <c r="V15" s="98"/>
    </row>
    <row r="16" spans="1:28" x14ac:dyDescent="0.2">
      <c r="A16" s="61">
        <v>1200</v>
      </c>
      <c r="B16" s="61">
        <v>137</v>
      </c>
      <c r="C16" s="61">
        <v>59</v>
      </c>
      <c r="D16" s="98">
        <f t="shared" si="7"/>
        <v>14</v>
      </c>
      <c r="E16" s="4">
        <f t="shared" si="8"/>
        <v>78</v>
      </c>
      <c r="F16" s="4">
        <f t="shared" si="9"/>
        <v>334.28571428571428</v>
      </c>
      <c r="G16" s="62">
        <v>5.6</v>
      </c>
    </row>
    <row r="17" spans="1:7" x14ac:dyDescent="0.2">
      <c r="A17" s="61">
        <v>1400</v>
      </c>
      <c r="B17" s="61">
        <v>137</v>
      </c>
      <c r="C17" s="61">
        <v>61</v>
      </c>
      <c r="D17" s="98">
        <f t="shared" si="7"/>
        <v>14</v>
      </c>
      <c r="E17" s="4">
        <f t="shared" si="8"/>
        <v>76</v>
      </c>
      <c r="F17" s="4">
        <f t="shared" si="9"/>
        <v>325.71428571428572</v>
      </c>
      <c r="G17" s="62">
        <v>6</v>
      </c>
    </row>
    <row r="18" spans="1:7" x14ac:dyDescent="0.2">
      <c r="A18" s="61">
        <v>1600</v>
      </c>
      <c r="B18" s="61">
        <v>137</v>
      </c>
      <c r="C18" s="61">
        <v>63</v>
      </c>
      <c r="D18" s="98">
        <f t="shared" si="7"/>
        <v>14</v>
      </c>
      <c r="E18" s="4">
        <f t="shared" si="8"/>
        <v>74</v>
      </c>
      <c r="F18" s="4">
        <f t="shared" si="9"/>
        <v>317.14285714285717</v>
      </c>
      <c r="G18" s="62">
        <v>6.4</v>
      </c>
    </row>
    <row r="19" spans="1:7" x14ac:dyDescent="0.2">
      <c r="A19" s="61">
        <v>1800</v>
      </c>
      <c r="B19" s="61">
        <v>137</v>
      </c>
      <c r="C19" s="61">
        <v>64.5</v>
      </c>
      <c r="D19" s="98">
        <f t="shared" si="7"/>
        <v>14</v>
      </c>
      <c r="E19" s="4">
        <f t="shared" si="8"/>
        <v>72.5</v>
      </c>
      <c r="F19" s="4">
        <f t="shared" si="9"/>
        <v>310.71428571428572</v>
      </c>
      <c r="G19" s="62">
        <v>6.8</v>
      </c>
    </row>
    <row r="20" spans="1:7" x14ac:dyDescent="0.2">
      <c r="A20" s="61">
        <v>2000</v>
      </c>
      <c r="B20" s="61">
        <v>137</v>
      </c>
      <c r="C20" s="61">
        <v>67</v>
      </c>
      <c r="D20" s="98">
        <f t="shared" si="7"/>
        <v>14</v>
      </c>
      <c r="E20" s="4">
        <f t="shared" si="8"/>
        <v>70</v>
      </c>
      <c r="F20" s="4">
        <f t="shared" si="9"/>
        <v>300</v>
      </c>
      <c r="G20" s="62">
        <v>7.6</v>
      </c>
    </row>
    <row r="21" spans="1:7" x14ac:dyDescent="0.2">
      <c r="A21" s="61">
        <v>2200</v>
      </c>
      <c r="B21" s="61">
        <v>137</v>
      </c>
      <c r="C21" s="61">
        <v>67.5</v>
      </c>
      <c r="D21" s="98">
        <f t="shared" si="7"/>
        <v>14</v>
      </c>
      <c r="E21" s="4">
        <f t="shared" si="8"/>
        <v>69.5</v>
      </c>
      <c r="F21" s="4">
        <f t="shared" si="9"/>
        <v>297.85714285714283</v>
      </c>
      <c r="G21" s="62">
        <v>8.1999999999999993</v>
      </c>
    </row>
    <row r="22" spans="1:7" x14ac:dyDescent="0.2">
      <c r="A22" s="61">
        <v>2400</v>
      </c>
      <c r="B22" s="61">
        <v>137</v>
      </c>
      <c r="C22" s="61">
        <v>71</v>
      </c>
      <c r="D22" s="98">
        <f t="shared" si="7"/>
        <v>14</v>
      </c>
      <c r="E22" s="4">
        <f t="shared" si="8"/>
        <v>66</v>
      </c>
      <c r="F22" s="4">
        <f t="shared" si="9"/>
        <v>282.85714285714283</v>
      </c>
      <c r="G22" s="62">
        <v>8.8000000000000007</v>
      </c>
    </row>
    <row r="23" spans="1:7" x14ac:dyDescent="0.2">
      <c r="A23" s="61">
        <v>2600</v>
      </c>
      <c r="B23" s="61">
        <v>137</v>
      </c>
      <c r="C23" s="61">
        <v>72</v>
      </c>
      <c r="D23" s="98">
        <f t="shared" si="7"/>
        <v>14</v>
      </c>
      <c r="E23" s="4">
        <f t="shared" si="8"/>
        <v>65</v>
      </c>
      <c r="F23" s="4">
        <f t="shared" si="9"/>
        <v>278.57142857142856</v>
      </c>
      <c r="G23" s="62">
        <v>9.4</v>
      </c>
    </row>
    <row r="24" spans="1:7" x14ac:dyDescent="0.2">
      <c r="A24" s="61">
        <v>2800</v>
      </c>
      <c r="B24" s="61">
        <v>137</v>
      </c>
      <c r="C24" s="61">
        <v>72</v>
      </c>
      <c r="D24" s="98">
        <f t="shared" si="7"/>
        <v>14</v>
      </c>
      <c r="E24" s="4">
        <f t="shared" si="8"/>
        <v>65</v>
      </c>
      <c r="F24" s="4">
        <f t="shared" si="9"/>
        <v>278.57142857142856</v>
      </c>
      <c r="G24" s="62">
        <v>10</v>
      </c>
    </row>
    <row r="25" spans="1:7" x14ac:dyDescent="0.2">
      <c r="A25" s="61">
        <v>3000</v>
      </c>
      <c r="B25" s="61">
        <v>137</v>
      </c>
      <c r="C25" s="61">
        <v>72</v>
      </c>
      <c r="D25" s="98">
        <f t="shared" si="7"/>
        <v>14</v>
      </c>
      <c r="E25" s="4">
        <f t="shared" si="8"/>
        <v>65</v>
      </c>
      <c r="F25" s="4">
        <f t="shared" si="9"/>
        <v>278.57142857142856</v>
      </c>
      <c r="G25" s="62">
        <v>10.8</v>
      </c>
    </row>
    <row r="44" spans="26:32" x14ac:dyDescent="0.2">
      <c r="Z44" s="4" t="s">
        <v>221</v>
      </c>
      <c r="AB44" s="4" t="s">
        <v>222</v>
      </c>
    </row>
    <row r="45" spans="26:32" x14ac:dyDescent="0.2">
      <c r="AB45" s="4" t="s">
        <v>223</v>
      </c>
      <c r="AC45" s="4">
        <v>7</v>
      </c>
      <c r="AD45" s="4" t="s">
        <v>224</v>
      </c>
    </row>
    <row r="47" spans="26:32" x14ac:dyDescent="0.2">
      <c r="AD47" s="4" t="s">
        <v>225</v>
      </c>
      <c r="AE47" s="4" t="s">
        <v>226</v>
      </c>
      <c r="AF47" s="4" t="s">
        <v>227</v>
      </c>
    </row>
    <row r="48" spans="26:32" x14ac:dyDescent="0.2">
      <c r="AA48" s="4">
        <v>0</v>
      </c>
      <c r="AB48" s="4">
        <v>137</v>
      </c>
      <c r="AC48" s="4">
        <v>33</v>
      </c>
      <c r="AD48" s="4">
        <f>AB48-AC48</f>
        <v>104</v>
      </c>
      <c r="AE48" s="4">
        <f t="shared" ref="AE48:AE63" si="10">AD48*60/$AC$45</f>
        <v>891.42857142857144</v>
      </c>
      <c r="AF48" s="4">
        <v>1.2</v>
      </c>
    </row>
    <row r="49" spans="1:32" ht="13.5" thickBot="1" x14ac:dyDescent="0.2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43"/>
      <c r="R49" s="43"/>
      <c r="S49" s="43"/>
      <c r="T49" s="43"/>
      <c r="U49" s="43"/>
      <c r="V49" s="43"/>
      <c r="W49" s="43"/>
      <c r="X49" s="43"/>
      <c r="Y49" s="43"/>
      <c r="AA49" s="4">
        <v>200</v>
      </c>
      <c r="AB49" s="4">
        <v>137</v>
      </c>
      <c r="AC49" s="4">
        <v>50</v>
      </c>
      <c r="AD49" s="4">
        <f t="shared" ref="AD49:AD63" si="11">AB49-AC49</f>
        <v>87</v>
      </c>
      <c r="AE49" s="4">
        <f t="shared" si="10"/>
        <v>745.71428571428567</v>
      </c>
      <c r="AF49" s="4">
        <v>1.7</v>
      </c>
    </row>
    <row r="50" spans="1:32" x14ac:dyDescent="0.2">
      <c r="A50" s="120" t="s">
        <v>192</v>
      </c>
      <c r="B50" s="120" t="s">
        <v>189</v>
      </c>
      <c r="F50" s="63">
        <f>F57</f>
        <v>561.42857142857144</v>
      </c>
      <c r="G50" s="63">
        <f>G57</f>
        <v>9.1000000000000014</v>
      </c>
      <c r="H50" s="63">
        <f>IF(E54=12,16,32)</f>
        <v>16</v>
      </c>
      <c r="I50" s="4">
        <f>B56</f>
        <v>3000</v>
      </c>
      <c r="AA50" s="4">
        <v>400</v>
      </c>
      <c r="AB50" s="4">
        <v>137</v>
      </c>
      <c r="AC50" s="4">
        <v>56</v>
      </c>
      <c r="AD50" s="4">
        <f t="shared" si="11"/>
        <v>81</v>
      </c>
      <c r="AE50" s="4">
        <f t="shared" si="10"/>
        <v>694.28571428571433</v>
      </c>
      <c r="AF50" s="4">
        <v>2.1</v>
      </c>
    </row>
    <row r="51" spans="1:32" x14ac:dyDescent="0.2">
      <c r="A51" s="120" t="s">
        <v>194</v>
      </c>
      <c r="B51" s="120" t="s">
        <v>195</v>
      </c>
      <c r="F51" s="98">
        <f>MATCH(B57,A59:A89,1)</f>
        <v>8</v>
      </c>
      <c r="AA51" s="4">
        <v>600</v>
      </c>
      <c r="AB51" s="4">
        <v>137</v>
      </c>
      <c r="AC51" s="4">
        <v>60</v>
      </c>
      <c r="AD51" s="4">
        <f t="shared" si="11"/>
        <v>77</v>
      </c>
      <c r="AE51" s="4">
        <f t="shared" si="10"/>
        <v>660</v>
      </c>
      <c r="AF51" s="4">
        <v>2.6</v>
      </c>
    </row>
    <row r="52" spans="1:32" x14ac:dyDescent="0.2">
      <c r="A52" s="120" t="s">
        <v>203</v>
      </c>
      <c r="B52" s="120" t="s">
        <v>204</v>
      </c>
      <c r="AA52" s="4">
        <v>800</v>
      </c>
      <c r="AB52" s="4">
        <v>137</v>
      </c>
      <c r="AC52" s="4">
        <v>65</v>
      </c>
      <c r="AD52" s="4">
        <f t="shared" si="11"/>
        <v>72</v>
      </c>
      <c r="AE52" s="4">
        <f t="shared" si="10"/>
        <v>617.14285714285711</v>
      </c>
      <c r="AF52" s="4">
        <v>3.1</v>
      </c>
    </row>
    <row r="53" spans="1:32" x14ac:dyDescent="0.2">
      <c r="A53" s="120" t="s">
        <v>205</v>
      </c>
      <c r="B53" s="120" t="s">
        <v>206</v>
      </c>
      <c r="AA53" s="4">
        <v>1000</v>
      </c>
      <c r="AB53" s="4">
        <v>137</v>
      </c>
      <c r="AC53" s="4">
        <v>70</v>
      </c>
      <c r="AD53" s="4">
        <v>71</v>
      </c>
      <c r="AE53" s="4">
        <f t="shared" si="10"/>
        <v>608.57142857142856</v>
      </c>
      <c r="AF53" s="4">
        <v>3.6</v>
      </c>
    </row>
    <row r="54" spans="1:32" x14ac:dyDescent="0.2">
      <c r="A54" s="120" t="s">
        <v>207</v>
      </c>
      <c r="B54" s="120" t="s">
        <v>208</v>
      </c>
      <c r="C54" s="98" t="s">
        <v>209</v>
      </c>
      <c r="D54" s="98"/>
      <c r="E54" s="59">
        <v>12</v>
      </c>
      <c r="G54" s="4" t="s">
        <v>228</v>
      </c>
      <c r="AA54" s="4">
        <v>1200</v>
      </c>
      <c r="AB54" s="4">
        <v>137</v>
      </c>
      <c r="AC54" s="4">
        <v>67</v>
      </c>
      <c r="AD54" s="4">
        <f t="shared" si="11"/>
        <v>70</v>
      </c>
      <c r="AE54" s="4">
        <f t="shared" si="10"/>
        <v>600</v>
      </c>
      <c r="AF54" s="4">
        <v>4</v>
      </c>
    </row>
    <row r="55" spans="1:32" x14ac:dyDescent="0.2">
      <c r="A55" s="120" t="s">
        <v>211</v>
      </c>
      <c r="B55" s="56">
        <v>0.15</v>
      </c>
      <c r="C55" s="98" t="s">
        <v>212</v>
      </c>
      <c r="D55" s="98"/>
      <c r="AA55" s="4">
        <v>1400</v>
      </c>
      <c r="AB55" s="4">
        <v>137</v>
      </c>
      <c r="AC55" s="4">
        <v>70</v>
      </c>
      <c r="AD55" s="4">
        <f t="shared" si="11"/>
        <v>67</v>
      </c>
      <c r="AE55" s="4">
        <f t="shared" si="10"/>
        <v>574.28571428571433</v>
      </c>
      <c r="AF55" s="4">
        <v>4.4000000000000004</v>
      </c>
    </row>
    <row r="56" spans="1:32" x14ac:dyDescent="0.2">
      <c r="A56" s="120" t="s">
        <v>202</v>
      </c>
      <c r="B56" s="56">
        <v>3000</v>
      </c>
      <c r="C56" s="120" t="s">
        <v>213</v>
      </c>
      <c r="F56" s="98" t="s">
        <v>199</v>
      </c>
      <c r="G56" s="98" t="s">
        <v>200</v>
      </c>
      <c r="AA56" s="4">
        <v>1600</v>
      </c>
      <c r="AB56" s="4">
        <v>137</v>
      </c>
      <c r="AC56" s="4">
        <v>73</v>
      </c>
      <c r="AD56" s="4">
        <f t="shared" si="11"/>
        <v>64</v>
      </c>
      <c r="AE56" s="4">
        <f t="shared" si="10"/>
        <v>548.57142857142856</v>
      </c>
      <c r="AF56" s="4">
        <v>4.7</v>
      </c>
    </row>
    <row r="57" spans="1:32" x14ac:dyDescent="0.2">
      <c r="A57" s="98" t="s">
        <v>214</v>
      </c>
      <c r="B57" s="60">
        <f>Pavg</f>
        <v>1500</v>
      </c>
      <c r="C57" s="98" t="s">
        <v>213</v>
      </c>
      <c r="D57" s="98" t="s">
        <v>215</v>
      </c>
      <c r="F57" s="60">
        <f>(B57- INDEX(A59:A89,F51,1))/( INDEX(A59:A89,F51+1,1)- INDEX($A59:A89,F51,1))*( INDEX(F59:F89,F51+1,1)- INDEX(F59:F89,F51,1))+ INDEX(F59:F89,F51,1)</f>
        <v>561.42857142857144</v>
      </c>
      <c r="G57" s="60">
        <f>(B57- INDEX(A59:A189,F51,1))/( INDEX(A59:A189,F51+1,1)- INDEX(A59:A189,F51,1))*( INDEX(G59:G189,F51+1,1)- INDEX(G59:G189,F51,1))+ INDEX(G59:G189,F51,1)</f>
        <v>9.1000000000000014</v>
      </c>
      <c r="AA57" s="4">
        <v>1800</v>
      </c>
      <c r="AB57" s="4">
        <v>137</v>
      </c>
      <c r="AC57" s="4">
        <v>75</v>
      </c>
      <c r="AD57" s="4">
        <f t="shared" si="11"/>
        <v>62</v>
      </c>
      <c r="AE57" s="4">
        <f t="shared" si="10"/>
        <v>531.42857142857144</v>
      </c>
      <c r="AF57" s="4">
        <v>5.0999999999999996</v>
      </c>
    </row>
    <row r="58" spans="1:32" ht="25.5" x14ac:dyDescent="0.2">
      <c r="A58" s="124" t="s">
        <v>216</v>
      </c>
      <c r="B58" s="98" t="s">
        <v>217</v>
      </c>
      <c r="C58" s="98" t="s">
        <v>217</v>
      </c>
      <c r="D58" s="61">
        <v>7</v>
      </c>
      <c r="E58" s="124" t="s">
        <v>218</v>
      </c>
      <c r="F58" s="124" t="s">
        <v>219</v>
      </c>
      <c r="G58" s="124" t="s">
        <v>220</v>
      </c>
      <c r="AA58" s="4">
        <v>2000</v>
      </c>
      <c r="AB58" s="4">
        <v>137</v>
      </c>
      <c r="AC58" s="4">
        <v>77</v>
      </c>
      <c r="AD58" s="4">
        <f t="shared" si="11"/>
        <v>60</v>
      </c>
      <c r="AE58" s="4">
        <f t="shared" si="10"/>
        <v>514.28571428571433</v>
      </c>
      <c r="AF58" s="4">
        <v>5.6</v>
      </c>
    </row>
    <row r="59" spans="1:32" x14ac:dyDescent="0.2">
      <c r="A59" s="4">
        <v>0</v>
      </c>
      <c r="B59" s="4">
        <v>137</v>
      </c>
      <c r="C59" s="4">
        <v>33</v>
      </c>
      <c r="D59" s="98">
        <f>D58</f>
        <v>7</v>
      </c>
      <c r="E59" s="4">
        <f>B59-C59</f>
        <v>104</v>
      </c>
      <c r="F59" s="4">
        <f>E59*60/D59</f>
        <v>891.42857142857144</v>
      </c>
      <c r="G59" s="62">
        <v>2.4</v>
      </c>
      <c r="AA59" s="4">
        <v>2200</v>
      </c>
      <c r="AB59" s="4">
        <v>137</v>
      </c>
      <c r="AC59" s="4">
        <v>78</v>
      </c>
      <c r="AD59" s="4">
        <f t="shared" si="11"/>
        <v>59</v>
      </c>
      <c r="AE59" s="4">
        <f t="shared" si="10"/>
        <v>505.71428571428572</v>
      </c>
      <c r="AF59" s="4">
        <v>5.7</v>
      </c>
    </row>
    <row r="60" spans="1:32" x14ac:dyDescent="0.2">
      <c r="A60" s="4">
        <v>200</v>
      </c>
      <c r="B60" s="4">
        <v>137</v>
      </c>
      <c r="C60" s="4">
        <v>50</v>
      </c>
      <c r="D60" s="98">
        <f t="shared" ref="D60:D74" si="12">D59</f>
        <v>7</v>
      </c>
      <c r="E60" s="4">
        <f>B60-C60</f>
        <v>87</v>
      </c>
      <c r="F60" s="4">
        <f t="shared" ref="F60:F74" si="13">E60*60/D60</f>
        <v>745.71428571428567</v>
      </c>
      <c r="G60" s="62">
        <v>3.4</v>
      </c>
      <c r="AA60" s="4">
        <v>2400</v>
      </c>
      <c r="AB60" s="4">
        <v>137</v>
      </c>
      <c r="AC60" s="4">
        <v>80</v>
      </c>
      <c r="AD60" s="4">
        <f t="shared" si="11"/>
        <v>57</v>
      </c>
      <c r="AE60" s="4">
        <f t="shared" si="10"/>
        <v>488.57142857142856</v>
      </c>
      <c r="AF60" s="4">
        <v>6</v>
      </c>
    </row>
    <row r="61" spans="1:32" x14ac:dyDescent="0.2">
      <c r="A61" s="4">
        <v>400</v>
      </c>
      <c r="B61" s="4">
        <v>137</v>
      </c>
      <c r="C61" s="4">
        <v>56</v>
      </c>
      <c r="D61" s="98">
        <f t="shared" si="12"/>
        <v>7</v>
      </c>
      <c r="E61" s="4">
        <f>B61-C61</f>
        <v>81</v>
      </c>
      <c r="F61" s="4">
        <f t="shared" si="13"/>
        <v>694.28571428571433</v>
      </c>
      <c r="G61" s="62">
        <v>4.2</v>
      </c>
      <c r="AA61" s="4">
        <v>2600</v>
      </c>
      <c r="AB61" s="4">
        <v>137</v>
      </c>
      <c r="AC61" s="4">
        <v>82.5</v>
      </c>
      <c r="AD61" s="4">
        <f t="shared" si="11"/>
        <v>54.5</v>
      </c>
      <c r="AE61" s="4">
        <f t="shared" si="10"/>
        <v>467.14285714285717</v>
      </c>
      <c r="AF61" s="4">
        <v>6.3</v>
      </c>
    </row>
    <row r="62" spans="1:32" x14ac:dyDescent="0.2">
      <c r="A62" s="4">
        <v>600</v>
      </c>
      <c r="B62" s="4">
        <v>137</v>
      </c>
      <c r="C62" s="4">
        <v>60</v>
      </c>
      <c r="D62" s="98">
        <f t="shared" si="12"/>
        <v>7</v>
      </c>
      <c r="E62" s="4">
        <f>B62-C62</f>
        <v>77</v>
      </c>
      <c r="F62" s="4">
        <f t="shared" si="13"/>
        <v>660</v>
      </c>
      <c r="G62" s="62">
        <v>5.2</v>
      </c>
      <c r="AA62" s="4">
        <v>2800</v>
      </c>
      <c r="AB62" s="4">
        <v>137</v>
      </c>
      <c r="AC62" s="4">
        <v>84.5</v>
      </c>
      <c r="AD62" s="4">
        <f t="shared" si="11"/>
        <v>52.5</v>
      </c>
      <c r="AE62" s="4">
        <f t="shared" si="10"/>
        <v>450</v>
      </c>
      <c r="AF62" s="4">
        <v>6.6</v>
      </c>
    </row>
    <row r="63" spans="1:32" x14ac:dyDescent="0.2">
      <c r="A63" s="4">
        <v>800</v>
      </c>
      <c r="B63" s="4">
        <v>137</v>
      </c>
      <c r="C63" s="4">
        <v>65</v>
      </c>
      <c r="D63" s="98">
        <f t="shared" si="12"/>
        <v>7</v>
      </c>
      <c r="E63" s="4">
        <f>B63-C63</f>
        <v>72</v>
      </c>
      <c r="F63" s="4">
        <f t="shared" si="13"/>
        <v>617.14285714285711</v>
      </c>
      <c r="G63" s="62">
        <v>6.2</v>
      </c>
      <c r="AA63" s="4">
        <v>3000</v>
      </c>
      <c r="AB63" s="4">
        <v>137</v>
      </c>
      <c r="AC63" s="4">
        <v>87</v>
      </c>
      <c r="AD63" s="4">
        <f t="shared" si="11"/>
        <v>50</v>
      </c>
      <c r="AE63" s="4">
        <f t="shared" si="10"/>
        <v>428.57142857142856</v>
      </c>
      <c r="AF63" s="4">
        <v>7.4</v>
      </c>
    </row>
    <row r="64" spans="1:32" x14ac:dyDescent="0.2">
      <c r="A64" s="4">
        <v>1000</v>
      </c>
      <c r="B64" s="4">
        <v>137</v>
      </c>
      <c r="C64" s="4">
        <v>70</v>
      </c>
      <c r="D64" s="98">
        <f t="shared" si="12"/>
        <v>7</v>
      </c>
      <c r="E64" s="4">
        <v>71</v>
      </c>
      <c r="F64" s="4">
        <f t="shared" si="13"/>
        <v>608.57142857142856</v>
      </c>
      <c r="G64" s="62">
        <v>7.2</v>
      </c>
    </row>
    <row r="65" spans="1:7" x14ac:dyDescent="0.2">
      <c r="A65" s="4">
        <v>1200</v>
      </c>
      <c r="B65" s="4">
        <v>137</v>
      </c>
      <c r="C65" s="4">
        <v>67</v>
      </c>
      <c r="D65" s="98">
        <f t="shared" si="12"/>
        <v>7</v>
      </c>
      <c r="E65" s="4">
        <f t="shared" ref="E65:E74" si="14">B65-C65</f>
        <v>70</v>
      </c>
      <c r="F65" s="4">
        <f t="shared" si="13"/>
        <v>600</v>
      </c>
      <c r="G65" s="62">
        <v>8</v>
      </c>
    </row>
    <row r="66" spans="1:7" x14ac:dyDescent="0.2">
      <c r="A66" s="4">
        <v>1400</v>
      </c>
      <c r="B66" s="4">
        <v>137</v>
      </c>
      <c r="C66" s="4">
        <v>70</v>
      </c>
      <c r="D66" s="98">
        <f t="shared" si="12"/>
        <v>7</v>
      </c>
      <c r="E66" s="4">
        <f t="shared" si="14"/>
        <v>67</v>
      </c>
      <c r="F66" s="4">
        <f t="shared" si="13"/>
        <v>574.28571428571433</v>
      </c>
      <c r="G66" s="62">
        <v>8.8000000000000007</v>
      </c>
    </row>
    <row r="67" spans="1:7" x14ac:dyDescent="0.2">
      <c r="A67" s="4">
        <v>1600</v>
      </c>
      <c r="B67" s="4">
        <v>137</v>
      </c>
      <c r="C67" s="4">
        <v>73</v>
      </c>
      <c r="D67" s="98">
        <f t="shared" si="12"/>
        <v>7</v>
      </c>
      <c r="E67" s="4">
        <f t="shared" si="14"/>
        <v>64</v>
      </c>
      <c r="F67" s="4">
        <f t="shared" si="13"/>
        <v>548.57142857142856</v>
      </c>
      <c r="G67" s="62">
        <v>9.4</v>
      </c>
    </row>
    <row r="68" spans="1:7" x14ac:dyDescent="0.2">
      <c r="A68" s="4">
        <v>1800</v>
      </c>
      <c r="B68" s="4">
        <v>137</v>
      </c>
      <c r="C68" s="4">
        <v>75</v>
      </c>
      <c r="D68" s="98">
        <f t="shared" si="12"/>
        <v>7</v>
      </c>
      <c r="E68" s="4">
        <f t="shared" si="14"/>
        <v>62</v>
      </c>
      <c r="F68" s="4">
        <f t="shared" si="13"/>
        <v>531.42857142857144</v>
      </c>
      <c r="G68" s="62">
        <v>10.199999999999999</v>
      </c>
    </row>
    <row r="69" spans="1:7" x14ac:dyDescent="0.2">
      <c r="A69" s="4">
        <v>2000</v>
      </c>
      <c r="B69" s="4">
        <v>137</v>
      </c>
      <c r="C69" s="4">
        <v>77</v>
      </c>
      <c r="D69" s="98">
        <f t="shared" si="12"/>
        <v>7</v>
      </c>
      <c r="E69" s="4">
        <f t="shared" si="14"/>
        <v>60</v>
      </c>
      <c r="F69" s="4">
        <f t="shared" si="13"/>
        <v>514.28571428571433</v>
      </c>
      <c r="G69" s="62">
        <v>11.2</v>
      </c>
    </row>
    <row r="70" spans="1:7" x14ac:dyDescent="0.2">
      <c r="A70" s="4">
        <v>2200</v>
      </c>
      <c r="B70" s="4">
        <v>137</v>
      </c>
      <c r="C70" s="4">
        <v>78</v>
      </c>
      <c r="D70" s="98">
        <f t="shared" si="12"/>
        <v>7</v>
      </c>
      <c r="E70" s="4">
        <f t="shared" si="14"/>
        <v>59</v>
      </c>
      <c r="F70" s="4">
        <f t="shared" si="13"/>
        <v>505.71428571428572</v>
      </c>
      <c r="G70" s="62">
        <v>11.4</v>
      </c>
    </row>
    <row r="71" spans="1:7" x14ac:dyDescent="0.2">
      <c r="A71" s="4">
        <v>2400</v>
      </c>
      <c r="B71" s="4">
        <v>137</v>
      </c>
      <c r="C71" s="4">
        <v>80</v>
      </c>
      <c r="D71" s="98">
        <f t="shared" si="12"/>
        <v>7</v>
      </c>
      <c r="E71" s="4">
        <f t="shared" si="14"/>
        <v>57</v>
      </c>
      <c r="F71" s="4">
        <f t="shared" si="13"/>
        <v>488.57142857142856</v>
      </c>
      <c r="G71" s="62">
        <v>12</v>
      </c>
    </row>
    <row r="72" spans="1:7" x14ac:dyDescent="0.2">
      <c r="A72" s="4">
        <v>2600</v>
      </c>
      <c r="B72" s="4">
        <v>137</v>
      </c>
      <c r="C72" s="4">
        <v>82.5</v>
      </c>
      <c r="D72" s="98">
        <f t="shared" si="12"/>
        <v>7</v>
      </c>
      <c r="E72" s="4">
        <f t="shared" si="14"/>
        <v>54.5</v>
      </c>
      <c r="F72" s="4">
        <f t="shared" si="13"/>
        <v>467.14285714285717</v>
      </c>
      <c r="G72" s="62">
        <v>12.6</v>
      </c>
    </row>
    <row r="73" spans="1:7" x14ac:dyDescent="0.2">
      <c r="A73" s="4">
        <v>2800</v>
      </c>
      <c r="B73" s="4">
        <v>137</v>
      </c>
      <c r="C73" s="4">
        <v>84.5</v>
      </c>
      <c r="D73" s="98">
        <f t="shared" si="12"/>
        <v>7</v>
      </c>
      <c r="E73" s="4">
        <f t="shared" si="14"/>
        <v>52.5</v>
      </c>
      <c r="F73" s="4">
        <f t="shared" si="13"/>
        <v>450</v>
      </c>
      <c r="G73" s="62">
        <v>13.2</v>
      </c>
    </row>
    <row r="74" spans="1:7" x14ac:dyDescent="0.2">
      <c r="A74" s="4">
        <v>3000</v>
      </c>
      <c r="B74" s="4">
        <v>137</v>
      </c>
      <c r="C74" s="4">
        <v>87</v>
      </c>
      <c r="D74" s="98">
        <f t="shared" si="12"/>
        <v>7</v>
      </c>
      <c r="E74" s="4">
        <f t="shared" si="14"/>
        <v>50</v>
      </c>
      <c r="F74" s="4">
        <f t="shared" si="13"/>
        <v>428.57142857142856</v>
      </c>
      <c r="G74" s="62">
        <v>14.8</v>
      </c>
    </row>
    <row r="99" spans="1:23" ht="13.5" thickBo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15"/>
    </row>
    <row r="100" spans="1:23" x14ac:dyDescent="0.2">
      <c r="A100" s="119" t="s">
        <v>192</v>
      </c>
      <c r="B100" s="119" t="s">
        <v>229</v>
      </c>
      <c r="F100" s="57">
        <f>F107</f>
        <v>321.42857142857144</v>
      </c>
      <c r="G100" s="57">
        <f>G107</f>
        <v>3.1</v>
      </c>
      <c r="H100" s="57">
        <f>IF(E104=12,16,32)</f>
        <v>32</v>
      </c>
      <c r="I100" s="4">
        <f>B106</f>
        <v>3000</v>
      </c>
    </row>
    <row r="101" spans="1:23" x14ac:dyDescent="0.2">
      <c r="A101" s="119" t="s">
        <v>194</v>
      </c>
      <c r="B101" s="119" t="s">
        <v>195</v>
      </c>
      <c r="F101" s="98">
        <f>MATCH(B107,A109:A139,1)</f>
        <v>8</v>
      </c>
    </row>
    <row r="102" spans="1:23" x14ac:dyDescent="0.2">
      <c r="A102" s="119" t="s">
        <v>203</v>
      </c>
      <c r="B102" s="119" t="s">
        <v>204</v>
      </c>
    </row>
    <row r="103" spans="1:23" x14ac:dyDescent="0.2">
      <c r="A103" s="119" t="s">
        <v>205</v>
      </c>
      <c r="B103" s="119" t="s">
        <v>206</v>
      </c>
    </row>
    <row r="104" spans="1:23" x14ac:dyDescent="0.2">
      <c r="A104" s="119" t="s">
        <v>207</v>
      </c>
      <c r="B104" s="119" t="s">
        <v>208</v>
      </c>
      <c r="C104" s="98" t="s">
        <v>209</v>
      </c>
      <c r="D104" s="98"/>
      <c r="E104" s="59">
        <v>24</v>
      </c>
    </row>
    <row r="105" spans="1:23" x14ac:dyDescent="0.2">
      <c r="A105" s="119" t="s">
        <v>211</v>
      </c>
      <c r="B105" s="55">
        <v>0.15</v>
      </c>
      <c r="C105" s="98" t="s">
        <v>212</v>
      </c>
      <c r="D105" s="98"/>
    </row>
    <row r="106" spans="1:23" x14ac:dyDescent="0.2">
      <c r="A106" s="120" t="s">
        <v>202</v>
      </c>
      <c r="B106" s="56">
        <v>3000</v>
      </c>
      <c r="C106" s="120" t="s">
        <v>213</v>
      </c>
      <c r="F106" s="98" t="s">
        <v>199</v>
      </c>
      <c r="G106" s="98" t="s">
        <v>200</v>
      </c>
    </row>
    <row r="107" spans="1:23" x14ac:dyDescent="0.2">
      <c r="A107" s="98" t="s">
        <v>214</v>
      </c>
      <c r="B107" s="60">
        <f>Pavg</f>
        <v>1500</v>
      </c>
      <c r="C107" s="98" t="s">
        <v>213</v>
      </c>
      <c r="D107" s="98" t="s">
        <v>215</v>
      </c>
      <c r="F107" s="60">
        <f>(B107- INDEX(A109:A139,F101,1))/( INDEX(A109:A139,F101+1,1)- INDEX($A109:A139,F101,1))*( INDEX(F109:F139,F101+1,1)- INDEX(F109:F139,F101,1))+ INDEX(F109:F139,F101,1)</f>
        <v>321.42857142857144</v>
      </c>
      <c r="G107" s="60">
        <f>(B107- INDEX(A109:A139,F101,1))/( INDEX(A109:A139,F101+1,1)- INDEX(A109:A139,F101,1))*( INDEX(G109:G139,F101+1,1)- INDEX(G109:G139,F101,1))+ INDEX(G109:G139,F101,1)</f>
        <v>3.1</v>
      </c>
    </row>
    <row r="108" spans="1:23" ht="25.5" x14ac:dyDescent="0.2">
      <c r="A108" s="124" t="s">
        <v>216</v>
      </c>
      <c r="B108" s="98" t="s">
        <v>217</v>
      </c>
      <c r="C108" s="98" t="s">
        <v>217</v>
      </c>
      <c r="D108" s="61">
        <v>14</v>
      </c>
      <c r="E108" s="124" t="s">
        <v>218</v>
      </c>
      <c r="F108" s="124" t="s">
        <v>219</v>
      </c>
      <c r="G108" s="124" t="s">
        <v>220</v>
      </c>
    </row>
    <row r="109" spans="1:23" x14ac:dyDescent="0.2">
      <c r="A109" s="4">
        <v>0</v>
      </c>
      <c r="B109" s="4">
        <v>137</v>
      </c>
      <c r="C109" s="4">
        <v>38</v>
      </c>
      <c r="D109" s="98">
        <f>D108</f>
        <v>14</v>
      </c>
      <c r="E109" s="4">
        <f>B109-C109</f>
        <v>99</v>
      </c>
      <c r="F109" s="4">
        <f>E109*60/D109</f>
        <v>424.28571428571428</v>
      </c>
      <c r="G109" s="4">
        <v>1.2</v>
      </c>
    </row>
    <row r="110" spans="1:23" x14ac:dyDescent="0.2">
      <c r="A110" s="4">
        <v>200</v>
      </c>
      <c r="B110" s="4">
        <v>137</v>
      </c>
      <c r="C110" s="4">
        <v>49</v>
      </c>
      <c r="D110" s="98">
        <f t="shared" ref="D110:D124" si="15">D109</f>
        <v>14</v>
      </c>
      <c r="E110" s="4">
        <f t="shared" ref="E110:E124" si="16">B110-C110</f>
        <v>88</v>
      </c>
      <c r="F110" s="4">
        <f t="shared" ref="F110:F124" si="17">E110*60/D110</f>
        <v>377.14285714285717</v>
      </c>
      <c r="G110" s="4">
        <v>1.5</v>
      </c>
    </row>
    <row r="111" spans="1:23" x14ac:dyDescent="0.2">
      <c r="A111" s="4">
        <v>400</v>
      </c>
      <c r="B111" s="4">
        <v>137</v>
      </c>
      <c r="C111" s="4">
        <v>53</v>
      </c>
      <c r="D111" s="98">
        <f t="shared" si="15"/>
        <v>14</v>
      </c>
      <c r="E111" s="4">
        <f t="shared" si="16"/>
        <v>84</v>
      </c>
      <c r="F111" s="4">
        <f t="shared" si="17"/>
        <v>360</v>
      </c>
      <c r="G111" s="4">
        <v>1.8</v>
      </c>
    </row>
    <row r="112" spans="1:23" x14ac:dyDescent="0.2">
      <c r="A112" s="4">
        <v>600</v>
      </c>
      <c r="B112" s="4">
        <v>137</v>
      </c>
      <c r="C112" s="4">
        <v>54</v>
      </c>
      <c r="D112" s="98">
        <f t="shared" si="15"/>
        <v>14</v>
      </c>
      <c r="E112" s="4">
        <f t="shared" si="16"/>
        <v>83</v>
      </c>
      <c r="F112" s="4">
        <f t="shared" si="17"/>
        <v>355.71428571428572</v>
      </c>
      <c r="G112" s="4">
        <v>2</v>
      </c>
    </row>
    <row r="113" spans="1:7" x14ac:dyDescent="0.2">
      <c r="A113" s="4">
        <v>800</v>
      </c>
      <c r="B113" s="4">
        <v>137</v>
      </c>
      <c r="C113" s="4">
        <v>56</v>
      </c>
      <c r="D113" s="98">
        <f t="shared" si="15"/>
        <v>14</v>
      </c>
      <c r="E113" s="4">
        <f t="shared" si="16"/>
        <v>81</v>
      </c>
      <c r="F113" s="4">
        <f t="shared" si="17"/>
        <v>347.14285714285717</v>
      </c>
      <c r="G113" s="4">
        <v>2.2999999999999998</v>
      </c>
    </row>
    <row r="114" spans="1:7" x14ac:dyDescent="0.2">
      <c r="A114" s="4">
        <v>1000</v>
      </c>
      <c r="B114" s="4">
        <v>137</v>
      </c>
      <c r="C114" s="4">
        <v>57</v>
      </c>
      <c r="D114" s="98">
        <f t="shared" si="15"/>
        <v>14</v>
      </c>
      <c r="E114" s="4">
        <f t="shared" si="16"/>
        <v>80</v>
      </c>
      <c r="F114" s="4">
        <f t="shared" si="17"/>
        <v>342.85714285714283</v>
      </c>
      <c r="G114" s="4">
        <v>2.5</v>
      </c>
    </row>
    <row r="115" spans="1:7" x14ac:dyDescent="0.2">
      <c r="A115" s="4">
        <v>1200</v>
      </c>
      <c r="B115" s="4">
        <v>137</v>
      </c>
      <c r="C115" s="4">
        <v>59</v>
      </c>
      <c r="D115" s="98">
        <f t="shared" si="15"/>
        <v>14</v>
      </c>
      <c r="E115" s="4">
        <f t="shared" si="16"/>
        <v>78</v>
      </c>
      <c r="F115" s="4">
        <f t="shared" si="17"/>
        <v>334.28571428571428</v>
      </c>
      <c r="G115" s="4">
        <v>2.8</v>
      </c>
    </row>
    <row r="116" spans="1:7" x14ac:dyDescent="0.2">
      <c r="A116" s="4">
        <v>1400</v>
      </c>
      <c r="B116" s="4">
        <v>137</v>
      </c>
      <c r="C116" s="4">
        <v>61</v>
      </c>
      <c r="D116" s="98">
        <f t="shared" si="15"/>
        <v>14</v>
      </c>
      <c r="E116" s="4">
        <f t="shared" si="16"/>
        <v>76</v>
      </c>
      <c r="F116" s="4">
        <f t="shared" si="17"/>
        <v>325.71428571428572</v>
      </c>
      <c r="G116" s="4">
        <v>3</v>
      </c>
    </row>
    <row r="117" spans="1:7" x14ac:dyDescent="0.2">
      <c r="A117" s="4">
        <v>1600</v>
      </c>
      <c r="B117" s="4">
        <v>137</v>
      </c>
      <c r="C117" s="4">
        <v>63</v>
      </c>
      <c r="D117" s="98">
        <f t="shared" si="15"/>
        <v>14</v>
      </c>
      <c r="E117" s="4">
        <f t="shared" si="16"/>
        <v>74</v>
      </c>
      <c r="F117" s="4">
        <f t="shared" si="17"/>
        <v>317.14285714285717</v>
      </c>
      <c r="G117" s="4">
        <v>3.2</v>
      </c>
    </row>
    <row r="118" spans="1:7" x14ac:dyDescent="0.2">
      <c r="A118" s="4">
        <v>1800</v>
      </c>
      <c r="B118" s="4">
        <v>137</v>
      </c>
      <c r="C118" s="4">
        <v>64.5</v>
      </c>
      <c r="D118" s="98">
        <f t="shared" si="15"/>
        <v>14</v>
      </c>
      <c r="E118" s="4">
        <f t="shared" si="16"/>
        <v>72.5</v>
      </c>
      <c r="F118" s="4">
        <f t="shared" si="17"/>
        <v>310.71428571428572</v>
      </c>
      <c r="G118" s="4">
        <v>3.4</v>
      </c>
    </row>
    <row r="119" spans="1:7" x14ac:dyDescent="0.2">
      <c r="A119" s="4">
        <v>2000</v>
      </c>
      <c r="B119" s="4">
        <v>137</v>
      </c>
      <c r="C119" s="4">
        <v>67</v>
      </c>
      <c r="D119" s="98">
        <f t="shared" si="15"/>
        <v>14</v>
      </c>
      <c r="E119" s="4">
        <f t="shared" si="16"/>
        <v>70</v>
      </c>
      <c r="F119" s="4">
        <f t="shared" si="17"/>
        <v>300</v>
      </c>
      <c r="G119" s="4">
        <v>3.8</v>
      </c>
    </row>
    <row r="120" spans="1:7" x14ac:dyDescent="0.2">
      <c r="A120" s="4">
        <v>2200</v>
      </c>
      <c r="B120" s="4">
        <v>137</v>
      </c>
      <c r="C120" s="4">
        <v>67.5</v>
      </c>
      <c r="D120" s="98">
        <f t="shared" si="15"/>
        <v>14</v>
      </c>
      <c r="E120" s="4">
        <f t="shared" si="16"/>
        <v>69.5</v>
      </c>
      <c r="F120" s="4">
        <f t="shared" si="17"/>
        <v>297.85714285714283</v>
      </c>
      <c r="G120" s="4">
        <v>4.0999999999999996</v>
      </c>
    </row>
    <row r="121" spans="1:7" x14ac:dyDescent="0.2">
      <c r="A121" s="4">
        <v>2400</v>
      </c>
      <c r="B121" s="4">
        <v>137</v>
      </c>
      <c r="C121" s="4">
        <v>71</v>
      </c>
      <c r="D121" s="98">
        <f t="shared" si="15"/>
        <v>14</v>
      </c>
      <c r="E121" s="4">
        <f t="shared" si="16"/>
        <v>66</v>
      </c>
      <c r="F121" s="4">
        <f t="shared" si="17"/>
        <v>282.85714285714283</v>
      </c>
      <c r="G121" s="4">
        <v>4.4000000000000004</v>
      </c>
    </row>
    <row r="122" spans="1:7" x14ac:dyDescent="0.2">
      <c r="A122" s="4">
        <v>2600</v>
      </c>
      <c r="B122" s="4">
        <v>137</v>
      </c>
      <c r="C122" s="4">
        <v>72</v>
      </c>
      <c r="D122" s="98">
        <f t="shared" si="15"/>
        <v>14</v>
      </c>
      <c r="E122" s="4">
        <f t="shared" si="16"/>
        <v>65</v>
      </c>
      <c r="F122" s="4">
        <f t="shared" si="17"/>
        <v>278.57142857142856</v>
      </c>
      <c r="G122" s="4">
        <v>4.7</v>
      </c>
    </row>
    <row r="123" spans="1:7" x14ac:dyDescent="0.2">
      <c r="A123" s="4">
        <v>2800</v>
      </c>
      <c r="B123" s="4">
        <v>137</v>
      </c>
      <c r="C123" s="4">
        <v>72</v>
      </c>
      <c r="D123" s="98">
        <f t="shared" si="15"/>
        <v>14</v>
      </c>
      <c r="E123" s="4">
        <f t="shared" si="16"/>
        <v>65</v>
      </c>
      <c r="F123" s="4">
        <f t="shared" si="17"/>
        <v>278.57142857142856</v>
      </c>
      <c r="G123" s="4">
        <v>5</v>
      </c>
    </row>
    <row r="124" spans="1:7" x14ac:dyDescent="0.2">
      <c r="A124" s="4">
        <v>3000</v>
      </c>
      <c r="B124" s="4">
        <v>137</v>
      </c>
      <c r="C124" s="4">
        <v>72</v>
      </c>
      <c r="D124" s="98">
        <f t="shared" si="15"/>
        <v>14</v>
      </c>
      <c r="E124" s="4">
        <f t="shared" si="16"/>
        <v>65</v>
      </c>
      <c r="F124" s="4">
        <f t="shared" si="17"/>
        <v>278.57142857142856</v>
      </c>
      <c r="G124" s="4">
        <v>5.4</v>
      </c>
    </row>
    <row r="126" spans="1:7" x14ac:dyDescent="0.2">
      <c r="C126" s="98"/>
      <c r="D126" s="98"/>
    </row>
    <row r="148" spans="1:23" x14ac:dyDescent="0.2">
      <c r="A148" s="15"/>
      <c r="B148" s="15"/>
      <c r="C148" s="15"/>
      <c r="D148" s="15"/>
      <c r="E148" s="15"/>
      <c r="F148" s="15"/>
      <c r="G148" s="15"/>
      <c r="I148" s="15"/>
      <c r="J148" s="15"/>
      <c r="K148" s="15"/>
    </row>
    <row r="149" spans="1:23" x14ac:dyDescent="0.2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</row>
    <row r="150" spans="1:23" x14ac:dyDescent="0.2">
      <c r="A150" s="120" t="s">
        <v>192</v>
      </c>
      <c r="B150" s="120" t="s">
        <v>24</v>
      </c>
      <c r="F150" s="63">
        <f>F157</f>
        <v>561.42857142857144</v>
      </c>
      <c r="G150" s="63">
        <f>G157</f>
        <v>4.5500000000000007</v>
      </c>
      <c r="H150" s="63">
        <f>IF(E154=12,16,32)</f>
        <v>32</v>
      </c>
      <c r="I150" s="4">
        <f>B156</f>
        <v>3000</v>
      </c>
    </row>
    <row r="151" spans="1:23" x14ac:dyDescent="0.2">
      <c r="A151" s="120" t="s">
        <v>194</v>
      </c>
      <c r="B151" s="120" t="s">
        <v>195</v>
      </c>
      <c r="F151" s="98">
        <f>MATCH(B157,A159:A189,1)</f>
        <v>8</v>
      </c>
    </row>
    <row r="152" spans="1:23" x14ac:dyDescent="0.2">
      <c r="A152" s="120" t="s">
        <v>203</v>
      </c>
      <c r="B152" s="120" t="s">
        <v>204</v>
      </c>
    </row>
    <row r="153" spans="1:23" x14ac:dyDescent="0.2">
      <c r="A153" s="120" t="s">
        <v>205</v>
      </c>
      <c r="B153" s="120" t="s">
        <v>206</v>
      </c>
    </row>
    <row r="154" spans="1:23" x14ac:dyDescent="0.2">
      <c r="A154" s="120" t="s">
        <v>207</v>
      </c>
      <c r="B154" s="120" t="s">
        <v>208</v>
      </c>
      <c r="C154" s="98" t="s">
        <v>209</v>
      </c>
      <c r="D154" s="98"/>
      <c r="E154" s="59">
        <v>24</v>
      </c>
    </row>
    <row r="155" spans="1:23" x14ac:dyDescent="0.2">
      <c r="A155" s="120" t="s">
        <v>211</v>
      </c>
      <c r="B155" s="56">
        <v>0.15</v>
      </c>
      <c r="C155" s="98" t="s">
        <v>212</v>
      </c>
      <c r="D155" s="98"/>
    </row>
    <row r="156" spans="1:23" x14ac:dyDescent="0.2">
      <c r="A156" s="120" t="s">
        <v>202</v>
      </c>
      <c r="B156" s="56">
        <v>3000</v>
      </c>
      <c r="C156" s="120" t="s">
        <v>213</v>
      </c>
      <c r="F156" s="98" t="s">
        <v>199</v>
      </c>
      <c r="G156" s="98" t="s">
        <v>200</v>
      </c>
    </row>
    <row r="157" spans="1:23" x14ac:dyDescent="0.2">
      <c r="A157" s="98" t="s">
        <v>214</v>
      </c>
      <c r="B157" s="60">
        <f>Pavg</f>
        <v>1500</v>
      </c>
      <c r="C157" s="98" t="s">
        <v>213</v>
      </c>
      <c r="D157" s="98" t="s">
        <v>215</v>
      </c>
      <c r="F157" s="60">
        <f>(B157- INDEX(A159:A189,F151,1))/( INDEX(A159:A189,F151+1,1)- INDEX($A159:A189,F151,1))*( INDEX(F159:F189,F151+1,1)- INDEX(F159:F189,F151,1))+ INDEX(F159:F189,F151,1)</f>
        <v>561.42857142857144</v>
      </c>
      <c r="G157" s="60">
        <f>(B157- INDEX(A159:A199,F151,1))/( INDEX(A159:A199,F151+1,1)- INDEX(A159:A199,F151,1))*( INDEX(G159:G199,F151+1,1)- INDEX(G159:G199,F151,1))+ INDEX(G159:G199,F151,1)</f>
        <v>4.5500000000000007</v>
      </c>
    </row>
    <row r="158" spans="1:23" ht="25.5" x14ac:dyDescent="0.2">
      <c r="A158" s="124" t="s">
        <v>216</v>
      </c>
      <c r="B158" s="98" t="s">
        <v>217</v>
      </c>
      <c r="C158" s="98" t="s">
        <v>217</v>
      </c>
      <c r="D158" s="61">
        <v>7</v>
      </c>
      <c r="E158" s="124" t="s">
        <v>218</v>
      </c>
      <c r="F158" s="124" t="s">
        <v>219</v>
      </c>
      <c r="G158" s="124" t="s">
        <v>220</v>
      </c>
    </row>
    <row r="159" spans="1:23" x14ac:dyDescent="0.2">
      <c r="A159" s="4">
        <v>0</v>
      </c>
      <c r="B159" s="4">
        <v>137</v>
      </c>
      <c r="C159" s="4">
        <v>33</v>
      </c>
      <c r="D159" s="98">
        <f>D158</f>
        <v>7</v>
      </c>
      <c r="E159" s="4">
        <f>B159-C159</f>
        <v>104</v>
      </c>
      <c r="F159" s="4">
        <f>E159*60/D159</f>
        <v>891.42857142857144</v>
      </c>
      <c r="G159" s="4">
        <v>1.2</v>
      </c>
    </row>
    <row r="160" spans="1:23" x14ac:dyDescent="0.2">
      <c r="A160" s="4">
        <v>200</v>
      </c>
      <c r="B160" s="4">
        <v>137</v>
      </c>
      <c r="C160" s="4">
        <v>50</v>
      </c>
      <c r="D160" s="98">
        <f t="shared" ref="D160:D174" si="18">D159</f>
        <v>7</v>
      </c>
      <c r="E160" s="4">
        <f>B160-C160</f>
        <v>87</v>
      </c>
      <c r="F160" s="4">
        <f t="shared" ref="F160:F174" si="19">E160*60/D160</f>
        <v>745.71428571428567</v>
      </c>
      <c r="G160" s="4">
        <v>1.7</v>
      </c>
    </row>
    <row r="161" spans="1:7" x14ac:dyDescent="0.2">
      <c r="A161" s="4">
        <v>400</v>
      </c>
      <c r="B161" s="4">
        <v>137</v>
      </c>
      <c r="C161" s="4">
        <v>56</v>
      </c>
      <c r="D161" s="98">
        <f t="shared" si="18"/>
        <v>7</v>
      </c>
      <c r="E161" s="4">
        <f>B161-C161</f>
        <v>81</v>
      </c>
      <c r="F161" s="4">
        <f t="shared" si="19"/>
        <v>694.28571428571433</v>
      </c>
      <c r="G161" s="4">
        <v>2.1</v>
      </c>
    </row>
    <row r="162" spans="1:7" x14ac:dyDescent="0.2">
      <c r="A162" s="4">
        <v>600</v>
      </c>
      <c r="B162" s="4">
        <v>137</v>
      </c>
      <c r="C162" s="4">
        <v>60</v>
      </c>
      <c r="D162" s="98">
        <f t="shared" si="18"/>
        <v>7</v>
      </c>
      <c r="E162" s="4">
        <f>B162-C162</f>
        <v>77</v>
      </c>
      <c r="F162" s="4">
        <f t="shared" si="19"/>
        <v>660</v>
      </c>
      <c r="G162" s="4">
        <v>2.6</v>
      </c>
    </row>
    <row r="163" spans="1:7" x14ac:dyDescent="0.2">
      <c r="A163" s="4">
        <v>800</v>
      </c>
      <c r="B163" s="4">
        <v>137</v>
      </c>
      <c r="C163" s="4">
        <v>65</v>
      </c>
      <c r="D163" s="98">
        <f t="shared" si="18"/>
        <v>7</v>
      </c>
      <c r="E163" s="4">
        <f>B163-C163</f>
        <v>72</v>
      </c>
      <c r="F163" s="4">
        <f t="shared" si="19"/>
        <v>617.14285714285711</v>
      </c>
      <c r="G163" s="4">
        <v>3.1</v>
      </c>
    </row>
    <row r="164" spans="1:7" x14ac:dyDescent="0.2">
      <c r="A164" s="4">
        <v>1000</v>
      </c>
      <c r="B164" s="4">
        <v>137</v>
      </c>
      <c r="C164" s="4">
        <v>70</v>
      </c>
      <c r="D164" s="98">
        <f t="shared" si="18"/>
        <v>7</v>
      </c>
      <c r="E164" s="4">
        <v>71</v>
      </c>
      <c r="F164" s="4">
        <f t="shared" si="19"/>
        <v>608.57142857142856</v>
      </c>
      <c r="G164" s="4">
        <v>3.6</v>
      </c>
    </row>
    <row r="165" spans="1:7" x14ac:dyDescent="0.2">
      <c r="A165" s="4">
        <v>1200</v>
      </c>
      <c r="B165" s="4">
        <v>137</v>
      </c>
      <c r="C165" s="4">
        <v>67</v>
      </c>
      <c r="D165" s="98">
        <f t="shared" si="18"/>
        <v>7</v>
      </c>
      <c r="E165" s="4">
        <f t="shared" ref="E165:E174" si="20">B165-C165</f>
        <v>70</v>
      </c>
      <c r="F165" s="4">
        <f t="shared" si="19"/>
        <v>600</v>
      </c>
      <c r="G165" s="4">
        <v>4</v>
      </c>
    </row>
    <row r="166" spans="1:7" x14ac:dyDescent="0.2">
      <c r="A166" s="4">
        <v>1400</v>
      </c>
      <c r="B166" s="4">
        <v>137</v>
      </c>
      <c r="C166" s="4">
        <v>70</v>
      </c>
      <c r="D166" s="98">
        <f t="shared" si="18"/>
        <v>7</v>
      </c>
      <c r="E166" s="4">
        <f t="shared" si="20"/>
        <v>67</v>
      </c>
      <c r="F166" s="4">
        <f t="shared" si="19"/>
        <v>574.28571428571433</v>
      </c>
      <c r="G166" s="4">
        <v>4.4000000000000004</v>
      </c>
    </row>
    <row r="167" spans="1:7" x14ac:dyDescent="0.2">
      <c r="A167" s="4">
        <v>1600</v>
      </c>
      <c r="B167" s="4">
        <v>137</v>
      </c>
      <c r="C167" s="4">
        <v>73</v>
      </c>
      <c r="D167" s="98">
        <f t="shared" si="18"/>
        <v>7</v>
      </c>
      <c r="E167" s="4">
        <f t="shared" si="20"/>
        <v>64</v>
      </c>
      <c r="F167" s="4">
        <f t="shared" si="19"/>
        <v>548.57142857142856</v>
      </c>
      <c r="G167" s="4">
        <v>4.7</v>
      </c>
    </row>
    <row r="168" spans="1:7" x14ac:dyDescent="0.2">
      <c r="A168" s="4">
        <v>1800</v>
      </c>
      <c r="B168" s="4">
        <v>137</v>
      </c>
      <c r="C168" s="4">
        <v>75</v>
      </c>
      <c r="D168" s="98">
        <f t="shared" si="18"/>
        <v>7</v>
      </c>
      <c r="E168" s="4">
        <f t="shared" si="20"/>
        <v>62</v>
      </c>
      <c r="F168" s="4">
        <f t="shared" si="19"/>
        <v>531.42857142857144</v>
      </c>
      <c r="G168" s="4">
        <v>5.0999999999999996</v>
      </c>
    </row>
    <row r="169" spans="1:7" x14ac:dyDescent="0.2">
      <c r="A169" s="4">
        <v>2000</v>
      </c>
      <c r="B169" s="4">
        <v>137</v>
      </c>
      <c r="C169" s="4">
        <v>77</v>
      </c>
      <c r="D169" s="98">
        <f t="shared" si="18"/>
        <v>7</v>
      </c>
      <c r="E169" s="4">
        <f t="shared" si="20"/>
        <v>60</v>
      </c>
      <c r="F169" s="4">
        <f t="shared" si="19"/>
        <v>514.28571428571433</v>
      </c>
      <c r="G169" s="4">
        <v>5.6</v>
      </c>
    </row>
    <row r="170" spans="1:7" x14ac:dyDescent="0.2">
      <c r="A170" s="4">
        <v>2200</v>
      </c>
      <c r="B170" s="4">
        <v>137</v>
      </c>
      <c r="C170" s="4">
        <v>78</v>
      </c>
      <c r="D170" s="98">
        <f t="shared" si="18"/>
        <v>7</v>
      </c>
      <c r="E170" s="4">
        <f t="shared" si="20"/>
        <v>59</v>
      </c>
      <c r="F170" s="4">
        <f t="shared" si="19"/>
        <v>505.71428571428572</v>
      </c>
      <c r="G170" s="4">
        <v>5.7</v>
      </c>
    </row>
    <row r="171" spans="1:7" x14ac:dyDescent="0.2">
      <c r="A171" s="4">
        <v>2400</v>
      </c>
      <c r="B171" s="4">
        <v>137</v>
      </c>
      <c r="C171" s="4">
        <v>80</v>
      </c>
      <c r="D171" s="98">
        <f t="shared" si="18"/>
        <v>7</v>
      </c>
      <c r="E171" s="4">
        <f t="shared" si="20"/>
        <v>57</v>
      </c>
      <c r="F171" s="4">
        <f t="shared" si="19"/>
        <v>488.57142857142856</v>
      </c>
      <c r="G171" s="4">
        <v>6</v>
      </c>
    </row>
    <row r="172" spans="1:7" x14ac:dyDescent="0.2">
      <c r="A172" s="4">
        <v>2600</v>
      </c>
      <c r="B172" s="4">
        <v>137</v>
      </c>
      <c r="C172" s="4">
        <v>82.5</v>
      </c>
      <c r="D172" s="98">
        <f t="shared" si="18"/>
        <v>7</v>
      </c>
      <c r="E172" s="4">
        <f t="shared" si="20"/>
        <v>54.5</v>
      </c>
      <c r="F172" s="4">
        <f t="shared" si="19"/>
        <v>467.14285714285717</v>
      </c>
      <c r="G172" s="4">
        <v>6.3</v>
      </c>
    </row>
    <row r="173" spans="1:7" x14ac:dyDescent="0.2">
      <c r="A173" s="4">
        <v>2800</v>
      </c>
      <c r="B173" s="4">
        <v>137</v>
      </c>
      <c r="C173" s="4">
        <v>84.5</v>
      </c>
      <c r="D173" s="98">
        <f t="shared" si="18"/>
        <v>7</v>
      </c>
      <c r="E173" s="4">
        <f t="shared" si="20"/>
        <v>52.5</v>
      </c>
      <c r="F173" s="4">
        <f t="shared" si="19"/>
        <v>450</v>
      </c>
      <c r="G173" s="4">
        <v>6.6</v>
      </c>
    </row>
    <row r="174" spans="1:7" x14ac:dyDescent="0.2">
      <c r="A174" s="4">
        <v>3000</v>
      </c>
      <c r="B174" s="4">
        <v>137</v>
      </c>
      <c r="C174" s="4">
        <v>87</v>
      </c>
      <c r="D174" s="98">
        <f t="shared" si="18"/>
        <v>7</v>
      </c>
      <c r="E174" s="4">
        <f t="shared" si="20"/>
        <v>50</v>
      </c>
      <c r="F174" s="4">
        <f t="shared" si="19"/>
        <v>428.57142857142856</v>
      </c>
      <c r="G174" s="4">
        <v>7.4</v>
      </c>
    </row>
    <row r="176" spans="1:7" x14ac:dyDescent="0.2">
      <c r="C176" s="98"/>
      <c r="D176" s="98"/>
    </row>
    <row r="177" spans="1:8" x14ac:dyDescent="0.2">
      <c r="B177" s="64"/>
      <c r="C177" s="64"/>
      <c r="D177" s="64"/>
      <c r="E177" s="64"/>
      <c r="F177" s="64"/>
      <c r="G177" s="64"/>
      <c r="H177" s="64"/>
    </row>
    <row r="178" spans="1:8" x14ac:dyDescent="0.2">
      <c r="A178" s="98"/>
      <c r="B178" s="126"/>
      <c r="C178" s="64"/>
      <c r="D178" s="64"/>
      <c r="E178" s="64"/>
      <c r="F178" s="64"/>
      <c r="G178" s="64"/>
      <c r="H178" s="64"/>
    </row>
    <row r="179" spans="1:8" x14ac:dyDescent="0.2">
      <c r="A179" s="98"/>
      <c r="B179" s="126"/>
      <c r="C179" s="64"/>
      <c r="D179" s="64"/>
      <c r="E179" s="64"/>
      <c r="F179" s="126"/>
      <c r="G179" s="64"/>
      <c r="H179" s="64"/>
    </row>
    <row r="180" spans="1:8" x14ac:dyDescent="0.2">
      <c r="A180" s="98"/>
      <c r="B180" s="126"/>
      <c r="C180" s="64"/>
      <c r="D180" s="64"/>
      <c r="E180" s="64"/>
      <c r="F180" s="64"/>
      <c r="G180" s="64"/>
      <c r="H180" s="64"/>
    </row>
    <row r="181" spans="1:8" x14ac:dyDescent="0.2">
      <c r="A181" s="98"/>
      <c r="B181" s="126"/>
      <c r="C181" s="64"/>
      <c r="D181" s="64"/>
      <c r="E181" s="64"/>
      <c r="F181" s="64"/>
      <c r="G181" s="64"/>
      <c r="H181" s="64"/>
    </row>
    <row r="199" spans="1:23" x14ac:dyDescent="0.2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</row>
    <row r="200" spans="1:23" x14ac:dyDescent="0.2">
      <c r="A200" s="98" t="s">
        <v>192</v>
      </c>
      <c r="B200" s="98" t="s">
        <v>187</v>
      </c>
      <c r="F200" s="63">
        <f>F207</f>
        <v>270.27027027027026</v>
      </c>
      <c r="G200" s="63">
        <f>G207</f>
        <v>5.8</v>
      </c>
      <c r="H200" s="63">
        <f>IF(E204=12,16,32)</f>
        <v>16</v>
      </c>
      <c r="I200" s="4">
        <f>B206</f>
        <v>4350</v>
      </c>
    </row>
    <row r="201" spans="1:23" x14ac:dyDescent="0.2">
      <c r="A201" s="98" t="s">
        <v>194</v>
      </c>
      <c r="B201" s="98" t="s">
        <v>230</v>
      </c>
      <c r="F201" s="98">
        <f>MATCH(B207,A209:A239,1)</f>
        <v>4</v>
      </c>
    </row>
    <row r="202" spans="1:23" x14ac:dyDescent="0.2">
      <c r="A202" s="98" t="s">
        <v>203</v>
      </c>
      <c r="B202" s="127">
        <v>41442</v>
      </c>
    </row>
    <row r="203" spans="1:23" x14ac:dyDescent="0.2">
      <c r="A203" s="98" t="s">
        <v>205</v>
      </c>
      <c r="B203" s="98" t="s">
        <v>206</v>
      </c>
    </row>
    <row r="204" spans="1:23" x14ac:dyDescent="0.2">
      <c r="A204" s="98" t="s">
        <v>207</v>
      </c>
      <c r="B204" s="98" t="s">
        <v>231</v>
      </c>
      <c r="C204" s="98" t="s">
        <v>209</v>
      </c>
      <c r="D204" s="98"/>
      <c r="E204" s="59">
        <v>12</v>
      </c>
    </row>
    <row r="205" spans="1:23" x14ac:dyDescent="0.2">
      <c r="A205" s="98" t="s">
        <v>211</v>
      </c>
      <c r="B205" s="4">
        <v>0.15</v>
      </c>
      <c r="C205" s="98" t="s">
        <v>212</v>
      </c>
      <c r="D205" s="98"/>
    </row>
    <row r="206" spans="1:23" x14ac:dyDescent="0.2">
      <c r="A206" s="120" t="s">
        <v>202</v>
      </c>
      <c r="B206" s="56">
        <v>4350</v>
      </c>
      <c r="C206" s="120" t="s">
        <v>213</v>
      </c>
      <c r="F206" s="98" t="s">
        <v>199</v>
      </c>
      <c r="G206" s="98" t="s">
        <v>200</v>
      </c>
    </row>
    <row r="207" spans="1:23" x14ac:dyDescent="0.2">
      <c r="A207" s="98" t="s">
        <v>214</v>
      </c>
      <c r="B207" s="60">
        <f>Pavg</f>
        <v>1500</v>
      </c>
      <c r="C207" s="98" t="s">
        <v>213</v>
      </c>
      <c r="D207" s="98" t="s">
        <v>215</v>
      </c>
      <c r="F207" s="60">
        <f>(B207- INDEX(A209:A239,F201,1))/( INDEX(A209:A239,F201+1,1)- INDEX($A209:A239,F201,1))*( INDEX(F209:F239,F201+1,1)- INDEX(F209:F239,F201,1))+ INDEX(F209:F239,F201,1)</f>
        <v>270.27027027027026</v>
      </c>
      <c r="G207" s="60">
        <f>(B207- INDEX(A209:A299,F201,1))/( INDEX(A209:A299,F201+1,1)- INDEX(A209:A299,F201,1))*( INDEX(G209:G299,F201+1,1)- INDEX(G209:G299,F201,1))+ INDEX(G209:G299,F201,1)</f>
        <v>5.8</v>
      </c>
    </row>
    <row r="208" spans="1:23" ht="25.5" x14ac:dyDescent="0.2">
      <c r="A208" s="124" t="s">
        <v>216</v>
      </c>
      <c r="B208" s="98" t="s">
        <v>217</v>
      </c>
      <c r="C208" s="98" t="s">
        <v>217</v>
      </c>
      <c r="D208" s="61"/>
      <c r="E208" s="124" t="s">
        <v>218</v>
      </c>
      <c r="F208" s="124" t="s">
        <v>219</v>
      </c>
      <c r="G208" s="124" t="s">
        <v>220</v>
      </c>
    </row>
    <row r="209" spans="1:7" x14ac:dyDescent="0.2">
      <c r="A209" s="6">
        <v>0</v>
      </c>
      <c r="B209" s="61">
        <v>100</v>
      </c>
      <c r="C209" s="61">
        <v>0</v>
      </c>
      <c r="D209" s="98">
        <v>19.2</v>
      </c>
      <c r="E209" s="4">
        <f>B209-C209</f>
        <v>100</v>
      </c>
      <c r="F209" s="4">
        <f>E209/D209*60</f>
        <v>312.50000000000006</v>
      </c>
      <c r="G209" s="4">
        <v>3.1</v>
      </c>
    </row>
    <row r="210" spans="1:7" x14ac:dyDescent="0.2">
      <c r="A210" s="6">
        <v>500</v>
      </c>
      <c r="B210" s="61">
        <v>100</v>
      </c>
      <c r="C210" s="61">
        <v>0</v>
      </c>
      <c r="D210" s="98">
        <v>20.6</v>
      </c>
      <c r="E210" s="4">
        <f t="shared" ref="E210:E218" si="21">B210-C210</f>
        <v>100</v>
      </c>
      <c r="F210" s="4">
        <f t="shared" ref="F210:F218" si="22">E210/D210*60</f>
        <v>291.26213592233006</v>
      </c>
      <c r="G210" s="4">
        <v>3.9</v>
      </c>
    </row>
    <row r="211" spans="1:7" x14ac:dyDescent="0.2">
      <c r="A211" s="6">
        <v>1000</v>
      </c>
      <c r="B211" s="61">
        <v>100</v>
      </c>
      <c r="C211" s="61">
        <v>0</v>
      </c>
      <c r="D211" s="98">
        <v>21.9</v>
      </c>
      <c r="E211" s="4">
        <f t="shared" si="21"/>
        <v>100</v>
      </c>
      <c r="F211" s="4">
        <f t="shared" si="22"/>
        <v>273.97260273972603</v>
      </c>
      <c r="G211" s="4">
        <v>4.9000000000000004</v>
      </c>
    </row>
    <row r="212" spans="1:7" x14ac:dyDescent="0.2">
      <c r="A212" s="6">
        <v>1500</v>
      </c>
      <c r="B212" s="61">
        <v>100</v>
      </c>
      <c r="C212" s="61">
        <v>0</v>
      </c>
      <c r="D212" s="98">
        <v>22.2</v>
      </c>
      <c r="E212" s="4">
        <f t="shared" si="21"/>
        <v>100</v>
      </c>
      <c r="F212" s="4">
        <f t="shared" si="22"/>
        <v>270.27027027027026</v>
      </c>
      <c r="G212" s="4">
        <v>5.8</v>
      </c>
    </row>
    <row r="213" spans="1:7" x14ac:dyDescent="0.2">
      <c r="A213" s="6">
        <v>2000</v>
      </c>
      <c r="B213" s="61">
        <v>100</v>
      </c>
      <c r="C213" s="61">
        <v>0</v>
      </c>
      <c r="D213" s="98">
        <v>23.1</v>
      </c>
      <c r="E213" s="4">
        <f t="shared" si="21"/>
        <v>100</v>
      </c>
      <c r="F213" s="4">
        <f t="shared" si="22"/>
        <v>259.74025974025972</v>
      </c>
      <c r="G213" s="4">
        <v>6.6</v>
      </c>
    </row>
    <row r="214" spans="1:7" x14ac:dyDescent="0.2">
      <c r="A214" s="6">
        <v>2500</v>
      </c>
      <c r="B214" s="61">
        <v>100</v>
      </c>
      <c r="C214" s="61">
        <v>0</v>
      </c>
      <c r="D214" s="98">
        <v>24</v>
      </c>
      <c r="E214" s="4">
        <f t="shared" si="21"/>
        <v>100</v>
      </c>
      <c r="F214" s="4">
        <f t="shared" si="22"/>
        <v>250.00000000000003</v>
      </c>
      <c r="G214" s="4">
        <v>7.3</v>
      </c>
    </row>
    <row r="215" spans="1:7" x14ac:dyDescent="0.2">
      <c r="A215" s="6">
        <v>3000</v>
      </c>
      <c r="B215" s="61">
        <v>100</v>
      </c>
      <c r="C215" s="61">
        <v>0</v>
      </c>
      <c r="D215" s="98">
        <v>24.8</v>
      </c>
      <c r="E215" s="4">
        <f t="shared" si="21"/>
        <v>100</v>
      </c>
      <c r="F215" s="4">
        <f t="shared" si="22"/>
        <v>241.93548387096774</v>
      </c>
      <c r="G215" s="4">
        <v>8</v>
      </c>
    </row>
    <row r="216" spans="1:7" x14ac:dyDescent="0.2">
      <c r="A216" s="6">
        <v>3500</v>
      </c>
      <c r="B216" s="61">
        <v>100</v>
      </c>
      <c r="C216" s="61">
        <v>0</v>
      </c>
      <c r="D216" s="98">
        <v>26</v>
      </c>
      <c r="E216" s="4">
        <f t="shared" si="21"/>
        <v>100</v>
      </c>
      <c r="F216" s="4">
        <f t="shared" si="22"/>
        <v>230.76923076923077</v>
      </c>
      <c r="G216" s="98">
        <v>8.9</v>
      </c>
    </row>
    <row r="217" spans="1:7" x14ac:dyDescent="0.2">
      <c r="A217" s="6">
        <v>4000</v>
      </c>
      <c r="B217" s="61">
        <v>100</v>
      </c>
      <c r="C217" s="61">
        <v>0</v>
      </c>
      <c r="D217" s="98">
        <v>27.3</v>
      </c>
      <c r="E217" s="4">
        <f t="shared" si="21"/>
        <v>100</v>
      </c>
      <c r="F217" s="4">
        <f t="shared" si="22"/>
        <v>219.78021978021977</v>
      </c>
      <c r="G217" s="4">
        <v>9.6999999999999993</v>
      </c>
    </row>
    <row r="218" spans="1:7" x14ac:dyDescent="0.2">
      <c r="A218" s="6">
        <v>4350</v>
      </c>
      <c r="B218" s="61">
        <v>100</v>
      </c>
      <c r="C218" s="61">
        <v>0</v>
      </c>
      <c r="D218" s="98">
        <v>28.2</v>
      </c>
      <c r="E218" s="4">
        <f t="shared" si="21"/>
        <v>100</v>
      </c>
      <c r="F218" s="4">
        <f t="shared" si="22"/>
        <v>212.76595744680853</v>
      </c>
      <c r="G218" s="4">
        <v>10.199999999999999</v>
      </c>
    </row>
    <row r="219" spans="1:7" x14ac:dyDescent="0.2">
      <c r="A219" s="6"/>
      <c r="B219" s="61"/>
      <c r="C219" s="61"/>
      <c r="D219" s="98"/>
    </row>
    <row r="220" spans="1:7" x14ac:dyDescent="0.2">
      <c r="B220" s="65"/>
      <c r="C220" s="65"/>
      <c r="D220" s="98"/>
    </row>
    <row r="221" spans="1:7" x14ac:dyDescent="0.2">
      <c r="B221" s="65"/>
      <c r="C221" s="65"/>
      <c r="D221" s="98"/>
    </row>
    <row r="222" spans="1:7" x14ac:dyDescent="0.2">
      <c r="B222" s="65"/>
      <c r="C222" s="65"/>
      <c r="D222" s="98"/>
    </row>
    <row r="223" spans="1:7" x14ac:dyDescent="0.2">
      <c r="B223" s="65"/>
      <c r="C223" s="65"/>
      <c r="D223" s="98"/>
    </row>
    <row r="224" spans="1:7" x14ac:dyDescent="0.2">
      <c r="B224" s="65"/>
      <c r="C224" s="65"/>
      <c r="D224" s="98"/>
    </row>
    <row r="225" spans="2:8" x14ac:dyDescent="0.2">
      <c r="B225" s="65"/>
      <c r="C225" s="65"/>
      <c r="D225" s="98"/>
    </row>
    <row r="226" spans="2:8" x14ac:dyDescent="0.2">
      <c r="B226" s="65"/>
      <c r="C226" s="65"/>
      <c r="D226" s="98"/>
    </row>
    <row r="227" spans="2:8" x14ac:dyDescent="0.2">
      <c r="B227" s="65"/>
      <c r="C227" s="65"/>
      <c r="D227" s="98"/>
      <c r="G227" s="64"/>
      <c r="H227" s="64"/>
    </row>
    <row r="228" spans="2:8" x14ac:dyDescent="0.2">
      <c r="B228" s="65"/>
      <c r="C228" s="65"/>
      <c r="D228" s="98"/>
    </row>
    <row r="250" spans="1:9" x14ac:dyDescent="0.2">
      <c r="A250" s="98" t="s">
        <v>192</v>
      </c>
      <c r="B250" s="98" t="s">
        <v>190</v>
      </c>
      <c r="F250" s="63">
        <f>F257</f>
        <v>458.01526717557255</v>
      </c>
      <c r="G250" s="63">
        <f>G257</f>
        <v>8.1999999999999993</v>
      </c>
      <c r="H250" s="63">
        <f>IF(E254=12,16,32)</f>
        <v>16</v>
      </c>
      <c r="I250" s="4">
        <f>B256</f>
        <v>4350</v>
      </c>
    </row>
    <row r="251" spans="1:9" x14ac:dyDescent="0.2">
      <c r="A251" s="98" t="s">
        <v>194</v>
      </c>
      <c r="B251" s="98" t="s">
        <v>230</v>
      </c>
      <c r="F251" s="98">
        <f>MATCH(B257,A259:A289,1)</f>
        <v>4</v>
      </c>
    </row>
    <row r="252" spans="1:9" x14ac:dyDescent="0.2">
      <c r="A252" s="98" t="s">
        <v>203</v>
      </c>
      <c r="B252" s="127">
        <v>41442</v>
      </c>
    </row>
    <row r="253" spans="1:9" x14ac:dyDescent="0.2">
      <c r="A253" s="98" t="s">
        <v>205</v>
      </c>
      <c r="B253" s="98" t="s">
        <v>206</v>
      </c>
    </row>
    <row r="254" spans="1:9" x14ac:dyDescent="0.2">
      <c r="A254" s="98" t="s">
        <v>207</v>
      </c>
      <c r="B254" s="98" t="s">
        <v>231</v>
      </c>
      <c r="C254" s="98" t="s">
        <v>209</v>
      </c>
      <c r="D254" s="98"/>
      <c r="E254" s="59">
        <v>12</v>
      </c>
    </row>
    <row r="255" spans="1:9" x14ac:dyDescent="0.2">
      <c r="A255" s="98" t="s">
        <v>211</v>
      </c>
      <c r="B255" s="4">
        <v>0.15</v>
      </c>
      <c r="C255" s="98" t="s">
        <v>212</v>
      </c>
      <c r="D255" s="98"/>
    </row>
    <row r="256" spans="1:9" x14ac:dyDescent="0.2">
      <c r="A256" s="120" t="s">
        <v>202</v>
      </c>
      <c r="B256" s="56">
        <v>4350</v>
      </c>
      <c r="C256" s="120" t="s">
        <v>213</v>
      </c>
      <c r="F256" s="98" t="s">
        <v>199</v>
      </c>
      <c r="G256" s="98" t="s">
        <v>200</v>
      </c>
    </row>
    <row r="257" spans="1:7" x14ac:dyDescent="0.2">
      <c r="A257" s="98" t="s">
        <v>214</v>
      </c>
      <c r="B257" s="60">
        <f>Pavg</f>
        <v>1500</v>
      </c>
      <c r="C257" s="98" t="s">
        <v>213</v>
      </c>
      <c r="D257" s="98" t="s">
        <v>215</v>
      </c>
      <c r="F257" s="60">
        <f>(B257- INDEX(A259:A289,F251,1))/( INDEX(A259:A289,F251+1,1)- INDEX($A259:A289,F251,1))*( INDEX(F259:F289,F251+1,1)- INDEX(F259:F289,F251,1))+ INDEX(F259:F289,F251,1)</f>
        <v>458.01526717557255</v>
      </c>
      <c r="G257" s="60">
        <f>(B257- INDEX(A259:A349,F251,1))/( INDEX(A259:A349,F251+1,1)- INDEX(A259:A349,F251,1))*( INDEX(G259:G349,F251+1,1)- INDEX(G259:G349,F251,1))+ INDEX(G259:G349,F251,1)</f>
        <v>8.1999999999999993</v>
      </c>
    </row>
    <row r="258" spans="1:7" ht="25.5" x14ac:dyDescent="0.2">
      <c r="A258" s="124" t="s">
        <v>216</v>
      </c>
      <c r="B258" s="98" t="s">
        <v>217</v>
      </c>
      <c r="C258" s="98" t="s">
        <v>217</v>
      </c>
      <c r="D258" s="61">
        <v>20</v>
      </c>
      <c r="E258" s="124" t="s">
        <v>218</v>
      </c>
      <c r="F258" s="124" t="s">
        <v>219</v>
      </c>
      <c r="G258" s="124" t="s">
        <v>220</v>
      </c>
    </row>
    <row r="259" spans="1:7" x14ac:dyDescent="0.2">
      <c r="A259" s="6">
        <v>0</v>
      </c>
      <c r="B259" s="61">
        <v>100</v>
      </c>
      <c r="C259" s="61">
        <v>0</v>
      </c>
      <c r="D259" s="98">
        <v>10.199999999999999</v>
      </c>
      <c r="E259" s="4">
        <f>B259-C259</f>
        <v>100</v>
      </c>
      <c r="F259" s="4">
        <f>E259/D259*60</f>
        <v>588.23529411764707</v>
      </c>
      <c r="G259" s="4">
        <v>3.2</v>
      </c>
    </row>
    <row r="260" spans="1:7" x14ac:dyDescent="0.2">
      <c r="A260" s="6">
        <v>500</v>
      </c>
      <c r="B260" s="61">
        <v>100</v>
      </c>
      <c r="C260" s="61">
        <v>0</v>
      </c>
      <c r="D260" s="98">
        <v>11.6</v>
      </c>
      <c r="E260" s="4">
        <f t="shared" ref="E260:E268" si="23">B260-C260</f>
        <v>100</v>
      </c>
      <c r="F260" s="4">
        <f t="shared" ref="F260:F268" si="24">E260/D260*60</f>
        <v>517.24137931034488</v>
      </c>
      <c r="G260" s="4">
        <v>4.8</v>
      </c>
    </row>
    <row r="261" spans="1:7" x14ac:dyDescent="0.2">
      <c r="A261" s="6">
        <v>1000</v>
      </c>
      <c r="B261" s="61">
        <v>100</v>
      </c>
      <c r="C261" s="61">
        <v>0</v>
      </c>
      <c r="D261" s="98">
        <v>12.1</v>
      </c>
      <c r="E261" s="4">
        <f t="shared" si="23"/>
        <v>100</v>
      </c>
      <c r="F261" s="4">
        <f t="shared" si="24"/>
        <v>495.86776859504135</v>
      </c>
      <c r="G261" s="4">
        <v>6.6</v>
      </c>
    </row>
    <row r="262" spans="1:7" x14ac:dyDescent="0.2">
      <c r="A262" s="6">
        <v>1500</v>
      </c>
      <c r="B262" s="61">
        <v>100</v>
      </c>
      <c r="C262" s="61">
        <v>0</v>
      </c>
      <c r="D262" s="98">
        <v>13.1</v>
      </c>
      <c r="E262" s="4">
        <f t="shared" si="23"/>
        <v>100</v>
      </c>
      <c r="F262" s="4">
        <f t="shared" si="24"/>
        <v>458.01526717557255</v>
      </c>
      <c r="G262" s="4">
        <v>8.1999999999999993</v>
      </c>
    </row>
    <row r="263" spans="1:7" x14ac:dyDescent="0.2">
      <c r="A263" s="6">
        <v>2000</v>
      </c>
      <c r="B263" s="61">
        <v>100</v>
      </c>
      <c r="C263" s="61">
        <v>0</v>
      </c>
      <c r="D263" s="98">
        <v>14</v>
      </c>
      <c r="E263" s="4">
        <f t="shared" si="23"/>
        <v>100</v>
      </c>
      <c r="F263" s="4">
        <f t="shared" si="24"/>
        <v>428.57142857142861</v>
      </c>
      <c r="G263" s="4">
        <v>9.8000000000000007</v>
      </c>
    </row>
    <row r="264" spans="1:7" x14ac:dyDescent="0.2">
      <c r="A264" s="6">
        <v>2500</v>
      </c>
      <c r="B264" s="61">
        <v>100</v>
      </c>
      <c r="C264" s="61">
        <v>0</v>
      </c>
      <c r="D264" s="98">
        <v>15.6</v>
      </c>
      <c r="E264" s="4">
        <f t="shared" si="23"/>
        <v>100</v>
      </c>
      <c r="F264" s="4">
        <f t="shared" si="24"/>
        <v>384.61538461538464</v>
      </c>
      <c r="G264" s="4">
        <v>11.2</v>
      </c>
    </row>
    <row r="265" spans="1:7" x14ac:dyDescent="0.2">
      <c r="A265" s="6">
        <v>3000</v>
      </c>
      <c r="B265" s="61">
        <v>100</v>
      </c>
      <c r="C265" s="61">
        <v>0</v>
      </c>
      <c r="D265" s="98">
        <v>17.100000000000001</v>
      </c>
      <c r="E265" s="4">
        <f t="shared" si="23"/>
        <v>100</v>
      </c>
      <c r="F265" s="4">
        <f t="shared" si="24"/>
        <v>350.87719298245611</v>
      </c>
      <c r="G265" s="4">
        <v>12.1</v>
      </c>
    </row>
    <row r="266" spans="1:7" x14ac:dyDescent="0.2">
      <c r="A266" s="6">
        <v>3500</v>
      </c>
      <c r="B266" s="61">
        <v>100</v>
      </c>
      <c r="C266" s="61">
        <v>0</v>
      </c>
      <c r="D266" s="98">
        <v>18.8</v>
      </c>
      <c r="E266" s="4">
        <f t="shared" si="23"/>
        <v>100</v>
      </c>
      <c r="F266" s="4">
        <f t="shared" si="24"/>
        <v>319.14893617021278</v>
      </c>
      <c r="G266" s="98">
        <v>13.3</v>
      </c>
    </row>
    <row r="267" spans="1:7" x14ac:dyDescent="0.2">
      <c r="A267" s="6">
        <v>4000</v>
      </c>
      <c r="B267" s="61">
        <v>100</v>
      </c>
      <c r="C267" s="61">
        <v>0</v>
      </c>
      <c r="D267" s="98">
        <v>20.3</v>
      </c>
      <c r="E267" s="4">
        <f t="shared" si="23"/>
        <v>100</v>
      </c>
      <c r="F267" s="4">
        <f t="shared" si="24"/>
        <v>295.56650246305418</v>
      </c>
      <c r="G267" s="4">
        <v>14.2</v>
      </c>
    </row>
    <row r="268" spans="1:7" x14ac:dyDescent="0.2">
      <c r="A268" s="6">
        <v>4350</v>
      </c>
      <c r="B268" s="61">
        <v>100</v>
      </c>
      <c r="C268" s="61">
        <v>0</v>
      </c>
      <c r="D268" s="98">
        <v>21.6</v>
      </c>
      <c r="E268" s="4">
        <f t="shared" si="23"/>
        <v>100</v>
      </c>
      <c r="F268" s="4">
        <f t="shared" si="24"/>
        <v>277.77777777777777</v>
      </c>
      <c r="G268" s="4">
        <v>15.2</v>
      </c>
    </row>
    <row r="269" spans="1:7" x14ac:dyDescent="0.2">
      <c r="A269" s="6"/>
      <c r="B269" s="61"/>
      <c r="C269" s="61"/>
      <c r="D269" s="98"/>
    </row>
    <row r="270" spans="1:7" x14ac:dyDescent="0.2">
      <c r="B270" s="65"/>
      <c r="C270" s="65"/>
      <c r="D270" s="98"/>
    </row>
    <row r="271" spans="1:7" x14ac:dyDescent="0.2">
      <c r="B271" s="65"/>
      <c r="C271" s="65"/>
      <c r="D271" s="98"/>
    </row>
    <row r="300" spans="1:9" x14ac:dyDescent="0.2">
      <c r="A300" s="119" t="s">
        <v>192</v>
      </c>
      <c r="B300" s="119" t="s">
        <v>191</v>
      </c>
      <c r="C300" s="55"/>
      <c r="F300" s="63">
        <f>F307</f>
        <v>2040</v>
      </c>
      <c r="G300" s="63">
        <f>G307</f>
        <v>19.799999999999997</v>
      </c>
      <c r="H300" s="63">
        <f>IF(E304=12,16,32)</f>
        <v>16</v>
      </c>
      <c r="I300" s="4">
        <f>B306</f>
        <v>1000</v>
      </c>
    </row>
    <row r="301" spans="1:9" x14ac:dyDescent="0.2">
      <c r="A301" s="119" t="s">
        <v>194</v>
      </c>
      <c r="B301" s="119" t="s">
        <v>195</v>
      </c>
      <c r="C301" s="55"/>
      <c r="F301" s="98">
        <f>MATCH(B307,A309:A339,1)</f>
        <v>11</v>
      </c>
    </row>
    <row r="302" spans="1:9" x14ac:dyDescent="0.2">
      <c r="A302" s="119" t="s">
        <v>203</v>
      </c>
      <c r="B302" s="127">
        <v>41442</v>
      </c>
      <c r="C302" s="55"/>
    </row>
    <row r="303" spans="1:9" x14ac:dyDescent="0.2">
      <c r="A303" s="119" t="s">
        <v>205</v>
      </c>
      <c r="B303" s="119" t="s">
        <v>206</v>
      </c>
      <c r="C303" s="55"/>
    </row>
    <row r="304" spans="1:9" x14ac:dyDescent="0.2">
      <c r="A304" s="119" t="s">
        <v>207</v>
      </c>
      <c r="B304" s="119" t="s">
        <v>232</v>
      </c>
      <c r="C304" s="119" t="s">
        <v>209</v>
      </c>
      <c r="D304" s="98"/>
      <c r="E304" s="59">
        <v>12</v>
      </c>
    </row>
    <row r="305" spans="1:7" x14ac:dyDescent="0.2">
      <c r="A305" s="119" t="s">
        <v>211</v>
      </c>
      <c r="B305" s="55">
        <v>0.3</v>
      </c>
      <c r="C305" s="119" t="s">
        <v>212</v>
      </c>
      <c r="D305" s="98"/>
    </row>
    <row r="306" spans="1:7" x14ac:dyDescent="0.2">
      <c r="A306" s="120" t="s">
        <v>202</v>
      </c>
      <c r="B306" s="56">
        <v>1000</v>
      </c>
      <c r="C306" s="120" t="s">
        <v>213</v>
      </c>
      <c r="F306" s="98" t="s">
        <v>199</v>
      </c>
      <c r="G306" s="98" t="s">
        <v>200</v>
      </c>
    </row>
    <row r="307" spans="1:7" x14ac:dyDescent="0.2">
      <c r="A307" s="98" t="s">
        <v>214</v>
      </c>
      <c r="B307" s="60">
        <f>Pavg</f>
        <v>1500</v>
      </c>
      <c r="C307" s="98" t="s">
        <v>213</v>
      </c>
      <c r="D307" s="98" t="s">
        <v>215</v>
      </c>
      <c r="F307" s="60">
        <f>(B307- INDEX(A309:A339,F301,1))/( INDEX(A309:A339,F301+1,1)- INDEX($A309:A339,F301,1))*( INDEX(F309:F339,F301+1,1)- INDEX(F309:F339,F301,1))+ INDEX(F309:F339,F301,1)</f>
        <v>2040</v>
      </c>
      <c r="G307" s="60">
        <f>(B307- INDEX(A309:A437,F301,1))/( INDEX(A309:A437,F301+1,1)- INDEX(A309:A437,F301,1))*( INDEX(G309:G437,F301+1,1)- INDEX(G309:G437,F301,1))+ INDEX(G309:G437,F301,1)</f>
        <v>19.799999999999997</v>
      </c>
    </row>
    <row r="308" spans="1:7" ht="25.5" x14ac:dyDescent="0.2">
      <c r="A308" s="124" t="s">
        <v>216</v>
      </c>
      <c r="B308" s="98" t="s">
        <v>217</v>
      </c>
      <c r="C308" s="98" t="s">
        <v>217</v>
      </c>
      <c r="D308" s="61">
        <v>4</v>
      </c>
      <c r="E308" s="124" t="s">
        <v>218</v>
      </c>
      <c r="F308" s="124" t="s">
        <v>219</v>
      </c>
      <c r="G308" s="124" t="s">
        <v>220</v>
      </c>
    </row>
    <row r="309" spans="1:7" x14ac:dyDescent="0.2">
      <c r="A309" s="4">
        <v>0</v>
      </c>
      <c r="B309" s="66"/>
      <c r="C309" s="66"/>
      <c r="D309" s="98"/>
      <c r="F309" s="4">
        <v>1700</v>
      </c>
      <c r="G309" s="66">
        <v>4</v>
      </c>
    </row>
    <row r="310" spans="1:7" x14ac:dyDescent="0.2">
      <c r="A310" s="6">
        <v>100</v>
      </c>
      <c r="B310" s="66"/>
      <c r="C310" s="66"/>
      <c r="D310" s="98"/>
      <c r="F310" s="4">
        <v>1680</v>
      </c>
      <c r="G310" s="66">
        <v>4.2</v>
      </c>
    </row>
    <row r="311" spans="1:7" x14ac:dyDescent="0.2">
      <c r="A311" s="6">
        <v>200</v>
      </c>
      <c r="B311" s="66"/>
      <c r="C311" s="66"/>
      <c r="D311" s="98"/>
      <c r="F311" s="4">
        <v>1600</v>
      </c>
      <c r="G311" s="66">
        <v>5.6</v>
      </c>
    </row>
    <row r="312" spans="1:7" x14ac:dyDescent="0.2">
      <c r="A312" s="6">
        <v>300</v>
      </c>
      <c r="B312" s="66"/>
      <c r="C312" s="66"/>
      <c r="D312" s="98"/>
      <c r="F312" s="4">
        <v>1520</v>
      </c>
      <c r="G312" s="66">
        <v>6.7</v>
      </c>
    </row>
    <row r="313" spans="1:7" x14ac:dyDescent="0.2">
      <c r="A313" s="6">
        <v>400</v>
      </c>
      <c r="B313" s="66"/>
      <c r="C313" s="66"/>
      <c r="D313" s="98"/>
      <c r="F313" s="4">
        <v>1480</v>
      </c>
      <c r="G313" s="66">
        <v>7.4</v>
      </c>
    </row>
    <row r="314" spans="1:7" x14ac:dyDescent="0.2">
      <c r="A314" s="6">
        <v>500</v>
      </c>
      <c r="B314" s="66"/>
      <c r="C314" s="66"/>
      <c r="D314" s="98"/>
      <c r="F314" s="4">
        <v>1470</v>
      </c>
      <c r="G314" s="66">
        <v>8.4</v>
      </c>
    </row>
    <row r="315" spans="1:7" x14ac:dyDescent="0.2">
      <c r="A315" s="6">
        <v>600</v>
      </c>
      <c r="B315" s="66"/>
      <c r="C315" s="66"/>
      <c r="D315" s="98"/>
      <c r="F315" s="4">
        <v>1440</v>
      </c>
      <c r="G315" s="66">
        <v>9.6</v>
      </c>
    </row>
    <row r="316" spans="1:7" x14ac:dyDescent="0.2">
      <c r="A316" s="6">
        <v>700</v>
      </c>
      <c r="B316" s="66"/>
      <c r="C316" s="66"/>
      <c r="D316" s="98"/>
      <c r="F316" s="4">
        <v>1440</v>
      </c>
      <c r="G316" s="66">
        <v>10.199999999999999</v>
      </c>
    </row>
    <row r="317" spans="1:7" x14ac:dyDescent="0.2">
      <c r="A317" s="6">
        <v>800</v>
      </c>
      <c r="B317" s="66"/>
      <c r="C317" s="66"/>
      <c r="D317" s="98"/>
      <c r="F317" s="4">
        <v>1440</v>
      </c>
      <c r="G317" s="66">
        <v>11.7</v>
      </c>
    </row>
    <row r="318" spans="1:7" x14ac:dyDescent="0.2">
      <c r="A318" s="6">
        <v>900</v>
      </c>
      <c r="B318" s="66"/>
      <c r="C318" s="66"/>
      <c r="D318" s="98"/>
      <c r="F318" s="4">
        <v>1440</v>
      </c>
      <c r="G318" s="66">
        <v>12.5</v>
      </c>
    </row>
    <row r="319" spans="1:7" x14ac:dyDescent="0.2">
      <c r="A319" s="6">
        <v>1000</v>
      </c>
      <c r="B319" s="66"/>
      <c r="C319" s="66"/>
      <c r="D319" s="98"/>
      <c r="F319" s="4">
        <v>1360</v>
      </c>
      <c r="G319" s="66">
        <v>13.2</v>
      </c>
    </row>
    <row r="320" spans="1:7" x14ac:dyDescent="0.2">
      <c r="B320" s="65"/>
      <c r="C320" s="65"/>
      <c r="D320" s="98"/>
    </row>
    <row r="321" spans="2:4" x14ac:dyDescent="0.2">
      <c r="B321" s="65"/>
      <c r="C321" s="65"/>
      <c r="D321" s="98"/>
    </row>
    <row r="350" spans="1:9" x14ac:dyDescent="0.2">
      <c r="A350" s="120" t="s">
        <v>192</v>
      </c>
      <c r="B350" s="120" t="s">
        <v>233</v>
      </c>
      <c r="C350" s="56"/>
      <c r="F350" s="63">
        <f>F357</f>
        <v>2040</v>
      </c>
      <c r="G350" s="63">
        <f>G357</f>
        <v>9.8999999999999986</v>
      </c>
      <c r="H350" s="63">
        <f>IF(E354=12,16,32)</f>
        <v>32</v>
      </c>
      <c r="I350" s="4">
        <f>B356</f>
        <v>1000</v>
      </c>
    </row>
    <row r="351" spans="1:9" x14ac:dyDescent="0.2">
      <c r="A351" s="120" t="s">
        <v>194</v>
      </c>
      <c r="B351" s="120" t="s">
        <v>195</v>
      </c>
      <c r="C351" s="56"/>
      <c r="F351" s="98">
        <f>MATCH(B357,A359:A389,1)</f>
        <v>11</v>
      </c>
    </row>
    <row r="352" spans="1:9" x14ac:dyDescent="0.2">
      <c r="A352" s="120" t="s">
        <v>203</v>
      </c>
      <c r="B352" s="127">
        <v>41442</v>
      </c>
      <c r="C352" s="56"/>
    </row>
    <row r="353" spans="1:7" x14ac:dyDescent="0.2">
      <c r="A353" s="120" t="s">
        <v>205</v>
      </c>
      <c r="B353" s="120" t="s">
        <v>206</v>
      </c>
      <c r="C353" s="56"/>
    </row>
    <row r="354" spans="1:7" x14ac:dyDescent="0.2">
      <c r="A354" s="120" t="s">
        <v>207</v>
      </c>
      <c r="B354" s="120" t="s">
        <v>232</v>
      </c>
      <c r="C354" s="120" t="s">
        <v>209</v>
      </c>
      <c r="D354" s="98"/>
      <c r="E354" s="59">
        <v>24</v>
      </c>
    </row>
    <row r="355" spans="1:7" x14ac:dyDescent="0.2">
      <c r="A355" s="120" t="s">
        <v>211</v>
      </c>
      <c r="B355" s="56">
        <v>0.3</v>
      </c>
      <c r="C355" s="120" t="s">
        <v>212</v>
      </c>
      <c r="D355" s="98"/>
    </row>
    <row r="356" spans="1:7" x14ac:dyDescent="0.2">
      <c r="A356" s="120" t="s">
        <v>202</v>
      </c>
      <c r="B356" s="56">
        <v>1000</v>
      </c>
      <c r="C356" s="120" t="s">
        <v>213</v>
      </c>
      <c r="F356" s="98" t="s">
        <v>199</v>
      </c>
      <c r="G356" s="98" t="s">
        <v>200</v>
      </c>
    </row>
    <row r="357" spans="1:7" x14ac:dyDescent="0.2">
      <c r="A357" s="98" t="s">
        <v>214</v>
      </c>
      <c r="B357" s="60">
        <f>Pavg</f>
        <v>1500</v>
      </c>
      <c r="C357" s="98" t="s">
        <v>213</v>
      </c>
      <c r="D357" s="98" t="s">
        <v>215</v>
      </c>
      <c r="F357" s="60">
        <f>(B357- INDEX(A359:A389,F351,1))/( INDEX(A359:A389,F351+1,1)- INDEX($A359:A389,F351,1))*( INDEX(F359:F389,F351+1,1)- INDEX(F359:F389,F351,1))+ INDEX(F359:F389,F351,1)</f>
        <v>2040</v>
      </c>
      <c r="G357" s="60">
        <f>(B357- INDEX(A359:A487,F351,1))/( INDEX(A359:A487,F351+1,1)- INDEX(A359:A487,F351,1))*( INDEX(G359:G487,F351+1,1)- INDEX(G359:G487,F351,1))+ INDEX(G359:G487,F351,1)</f>
        <v>9.8999999999999986</v>
      </c>
    </row>
    <row r="358" spans="1:7" ht="25.5" x14ac:dyDescent="0.2">
      <c r="A358" s="124" t="s">
        <v>216</v>
      </c>
      <c r="B358" s="98" t="s">
        <v>217</v>
      </c>
      <c r="C358" s="98" t="s">
        <v>217</v>
      </c>
      <c r="D358" s="61">
        <v>4</v>
      </c>
      <c r="E358" s="124" t="s">
        <v>218</v>
      </c>
      <c r="F358" s="124" t="s">
        <v>219</v>
      </c>
      <c r="G358" s="124" t="s">
        <v>220</v>
      </c>
    </row>
    <row r="359" spans="1:7" x14ac:dyDescent="0.2">
      <c r="A359" s="4">
        <v>0</v>
      </c>
      <c r="B359" s="66"/>
      <c r="C359" s="66"/>
      <c r="D359" s="98"/>
      <c r="F359" s="4">
        <v>1700</v>
      </c>
      <c r="G359" s="66">
        <v>2</v>
      </c>
    </row>
    <row r="360" spans="1:7" x14ac:dyDescent="0.2">
      <c r="A360" s="6">
        <v>100</v>
      </c>
      <c r="B360" s="66"/>
      <c r="C360" s="66"/>
      <c r="D360" s="98"/>
      <c r="F360" s="4">
        <v>1700</v>
      </c>
      <c r="G360" s="66">
        <v>2.1</v>
      </c>
    </row>
    <row r="361" spans="1:7" x14ac:dyDescent="0.2">
      <c r="A361" s="6">
        <v>200</v>
      </c>
      <c r="B361" s="66"/>
      <c r="C361" s="66"/>
      <c r="D361" s="98"/>
      <c r="F361" s="4">
        <v>1680</v>
      </c>
      <c r="G361" s="66">
        <v>2.8</v>
      </c>
    </row>
    <row r="362" spans="1:7" x14ac:dyDescent="0.2">
      <c r="A362" s="6">
        <v>300</v>
      </c>
      <c r="B362" s="66"/>
      <c r="C362" s="66"/>
      <c r="D362" s="98"/>
      <c r="F362" s="4">
        <v>1520</v>
      </c>
      <c r="G362" s="66">
        <v>3.35</v>
      </c>
    </row>
    <row r="363" spans="1:7" x14ac:dyDescent="0.2">
      <c r="A363" s="6">
        <v>400</v>
      </c>
      <c r="B363" s="66"/>
      <c r="C363" s="66"/>
      <c r="D363" s="98"/>
      <c r="F363" s="4">
        <v>1480</v>
      </c>
      <c r="G363" s="66">
        <v>3.7</v>
      </c>
    </row>
    <row r="364" spans="1:7" x14ac:dyDescent="0.2">
      <c r="A364" s="6">
        <v>500</v>
      </c>
      <c r="B364" s="66"/>
      <c r="C364" s="66"/>
      <c r="D364" s="98"/>
      <c r="F364" s="4">
        <v>1480</v>
      </c>
      <c r="G364" s="66">
        <v>4.2</v>
      </c>
    </row>
    <row r="365" spans="1:7" x14ac:dyDescent="0.2">
      <c r="A365" s="6">
        <v>600</v>
      </c>
      <c r="B365" s="66"/>
      <c r="C365" s="66"/>
      <c r="D365" s="98"/>
      <c r="F365" s="4">
        <v>1440</v>
      </c>
      <c r="G365" s="66">
        <v>4.8</v>
      </c>
    </row>
    <row r="366" spans="1:7" x14ac:dyDescent="0.2">
      <c r="A366" s="6">
        <v>700</v>
      </c>
      <c r="B366" s="66"/>
      <c r="C366" s="66"/>
      <c r="D366" s="98"/>
      <c r="F366" s="4">
        <v>1440</v>
      </c>
      <c r="G366" s="66">
        <v>5.0999999999999996</v>
      </c>
    </row>
    <row r="367" spans="1:7" x14ac:dyDescent="0.2">
      <c r="A367" s="6">
        <v>800</v>
      </c>
      <c r="B367" s="66"/>
      <c r="C367" s="66"/>
      <c r="D367" s="98"/>
      <c r="F367" s="4">
        <v>1440</v>
      </c>
      <c r="G367" s="66">
        <v>5.85</v>
      </c>
    </row>
    <row r="368" spans="1:7" x14ac:dyDescent="0.2">
      <c r="A368" s="6">
        <v>900</v>
      </c>
      <c r="B368" s="66"/>
      <c r="C368" s="66"/>
      <c r="D368" s="98"/>
      <c r="F368" s="4">
        <v>1440</v>
      </c>
      <c r="G368" s="66">
        <v>6.25</v>
      </c>
    </row>
    <row r="369" spans="1:7" x14ac:dyDescent="0.2">
      <c r="A369" s="6">
        <v>1000</v>
      </c>
      <c r="B369" s="66"/>
      <c r="C369" s="66"/>
      <c r="D369" s="98"/>
      <c r="F369" s="4">
        <v>1360</v>
      </c>
      <c r="G369" s="66">
        <v>6.6</v>
      </c>
    </row>
    <row r="370" spans="1:7" x14ac:dyDescent="0.2">
      <c r="B370" s="65"/>
      <c r="C370" s="65"/>
      <c r="D370" s="98"/>
    </row>
    <row r="371" spans="1:7" x14ac:dyDescent="0.2">
      <c r="B371" s="65"/>
      <c r="C371" s="65"/>
      <c r="D371" s="98"/>
    </row>
    <row r="400" spans="1:9" x14ac:dyDescent="0.2">
      <c r="A400" s="128" t="s">
        <v>192</v>
      </c>
      <c r="B400" s="128" t="s">
        <v>234</v>
      </c>
      <c r="C400" s="94"/>
      <c r="D400" s="70"/>
      <c r="E400" s="70"/>
      <c r="F400" s="57">
        <f>F407</f>
        <v>180</v>
      </c>
      <c r="G400" s="57">
        <f>G407</f>
        <v>3.84</v>
      </c>
      <c r="H400" s="57">
        <f>IF(E404=12,16,32)</f>
        <v>16</v>
      </c>
      <c r="I400" s="70">
        <f>B406</f>
        <v>1500</v>
      </c>
    </row>
    <row r="401" spans="1:9" x14ac:dyDescent="0.2">
      <c r="A401" s="128" t="s">
        <v>194</v>
      </c>
      <c r="B401" s="128" t="s">
        <v>235</v>
      </c>
      <c r="C401" s="94"/>
      <c r="D401" s="70"/>
      <c r="E401" s="70"/>
      <c r="F401" s="101">
        <f>MATCH(B407,A409:A437,1)</f>
        <v>9</v>
      </c>
      <c r="G401" s="70"/>
      <c r="H401" s="70"/>
      <c r="I401" s="70"/>
    </row>
    <row r="402" spans="1:9" x14ac:dyDescent="0.2">
      <c r="A402" s="128" t="s">
        <v>203</v>
      </c>
      <c r="B402" s="129">
        <v>42709</v>
      </c>
      <c r="C402" s="94"/>
      <c r="D402" s="70" t="s">
        <v>236</v>
      </c>
      <c r="E402" s="70" t="s">
        <v>237</v>
      </c>
      <c r="F402" s="70"/>
      <c r="G402" s="70"/>
      <c r="H402" s="70"/>
      <c r="I402" s="70"/>
    </row>
    <row r="403" spans="1:9" x14ac:dyDescent="0.2">
      <c r="A403" s="128" t="s">
        <v>205</v>
      </c>
      <c r="B403" s="128" t="s">
        <v>238</v>
      </c>
      <c r="C403" s="94"/>
      <c r="D403" s="70"/>
      <c r="E403" s="70"/>
      <c r="F403" s="70"/>
      <c r="G403" s="70"/>
      <c r="H403" s="70"/>
      <c r="I403" s="70"/>
    </row>
    <row r="404" spans="1:9" x14ac:dyDescent="0.2">
      <c r="A404" s="128" t="s">
        <v>207</v>
      </c>
      <c r="B404" s="128" t="s">
        <v>239</v>
      </c>
      <c r="C404" s="128" t="s">
        <v>209</v>
      </c>
      <c r="D404" s="101"/>
      <c r="E404" s="59">
        <v>12</v>
      </c>
      <c r="F404" s="70"/>
      <c r="G404" s="70"/>
      <c r="H404" s="70"/>
      <c r="I404" s="70"/>
    </row>
    <row r="405" spans="1:9" x14ac:dyDescent="0.2">
      <c r="A405" s="128" t="s">
        <v>211</v>
      </c>
      <c r="B405" s="94">
        <v>0.3</v>
      </c>
      <c r="C405" s="128" t="s">
        <v>212</v>
      </c>
      <c r="D405" s="101"/>
      <c r="E405" s="70"/>
      <c r="F405" s="70"/>
      <c r="G405" s="70"/>
      <c r="H405" s="70"/>
      <c r="I405" s="70"/>
    </row>
    <row r="406" spans="1:9" x14ac:dyDescent="0.2">
      <c r="A406" s="128" t="s">
        <v>202</v>
      </c>
      <c r="B406" s="94">
        <v>1500</v>
      </c>
      <c r="C406" s="128" t="s">
        <v>213</v>
      </c>
      <c r="D406" s="70"/>
      <c r="E406" s="70"/>
      <c r="F406" s="101" t="s">
        <v>199</v>
      </c>
      <c r="G406" s="101" t="s">
        <v>200</v>
      </c>
      <c r="H406" s="70"/>
      <c r="I406" s="70"/>
    </row>
    <row r="407" spans="1:9" x14ac:dyDescent="0.2">
      <c r="A407" s="101" t="s">
        <v>214</v>
      </c>
      <c r="B407" s="95">
        <f>Pavg</f>
        <v>1500</v>
      </c>
      <c r="C407" s="101" t="s">
        <v>213</v>
      </c>
      <c r="D407" s="101" t="s">
        <v>215</v>
      </c>
      <c r="E407" s="70"/>
      <c r="F407" s="95">
        <f>(B407- INDEX(A409:A437,F401,1))/( INDEX(A409:A437,F401+1,1)- INDEX($A409:A437,F401,1))*( INDEX(F409:F437,F401+1,1)- INDEX(F409:F437,F401,1))+ INDEX(F409:F437,F401,1)</f>
        <v>180</v>
      </c>
      <c r="G407" s="95">
        <f>(B407- INDEX(A409:A537,F401,1))/( INDEX(A409:A537,F401+1,1)- INDEX(A409:A537,F401,1))*( INDEX(G409:G537,F401+1,1)- INDEX(G409:G537,F401,1))+ INDEX(G409:G537,F401,1)</f>
        <v>3.84</v>
      </c>
      <c r="H407" s="70"/>
      <c r="I407" s="70"/>
    </row>
    <row r="408" spans="1:9" ht="38.25" x14ac:dyDescent="0.2">
      <c r="A408" s="130" t="s">
        <v>216</v>
      </c>
      <c r="B408" s="101" t="s">
        <v>217</v>
      </c>
      <c r="C408" s="101" t="s">
        <v>217</v>
      </c>
      <c r="D408" s="59">
        <v>4</v>
      </c>
      <c r="E408" s="130" t="s">
        <v>218</v>
      </c>
      <c r="F408" s="130" t="s">
        <v>219</v>
      </c>
      <c r="G408" s="130" t="s">
        <v>240</v>
      </c>
      <c r="H408" s="124" t="s">
        <v>220</v>
      </c>
      <c r="I408" s="70" t="s">
        <v>241</v>
      </c>
    </row>
    <row r="409" spans="1:9" x14ac:dyDescent="0.2">
      <c r="A409" s="70">
        <v>0</v>
      </c>
      <c r="B409" s="96"/>
      <c r="C409" s="96">
        <v>99</v>
      </c>
      <c r="D409" s="101">
        <v>30</v>
      </c>
      <c r="E409" s="70">
        <f>C409*60/D409</f>
        <v>198</v>
      </c>
      <c r="F409" s="70">
        <v>200</v>
      </c>
      <c r="G409" s="96">
        <f>H409*1.2</f>
        <v>1.2</v>
      </c>
      <c r="H409" s="96">
        <v>1</v>
      </c>
      <c r="I409" s="70"/>
    </row>
    <row r="410" spans="1:9" x14ac:dyDescent="0.2">
      <c r="A410" s="71">
        <v>100</v>
      </c>
      <c r="B410" s="96"/>
      <c r="C410" s="96">
        <v>97</v>
      </c>
      <c r="D410" s="101">
        <v>30</v>
      </c>
      <c r="E410" s="70">
        <f t="shared" ref="E410:E417" si="25">C410*60/D410</f>
        <v>194</v>
      </c>
      <c r="F410" s="70">
        <v>200</v>
      </c>
      <c r="G410" s="96">
        <f t="shared" ref="G410:G417" si="26">H410*1.2</f>
        <v>1.32</v>
      </c>
      <c r="H410" s="96">
        <v>1.1000000000000001</v>
      </c>
      <c r="I410" s="70"/>
    </row>
    <row r="411" spans="1:9" x14ac:dyDescent="0.2">
      <c r="A411" s="71">
        <v>300</v>
      </c>
      <c r="B411" s="96"/>
      <c r="C411" s="96">
        <v>95</v>
      </c>
      <c r="D411" s="101">
        <v>30</v>
      </c>
      <c r="E411" s="70">
        <f t="shared" si="25"/>
        <v>190</v>
      </c>
      <c r="F411" s="70">
        <v>198</v>
      </c>
      <c r="G411" s="96">
        <f t="shared" si="26"/>
        <v>1.44</v>
      </c>
      <c r="H411" s="96">
        <v>1.2</v>
      </c>
      <c r="I411" s="70"/>
    </row>
    <row r="412" spans="1:9" x14ac:dyDescent="0.2">
      <c r="A412" s="71">
        <v>500</v>
      </c>
      <c r="B412" s="96"/>
      <c r="C412" s="96">
        <v>94</v>
      </c>
      <c r="D412" s="101">
        <v>30</v>
      </c>
      <c r="E412" s="70">
        <f t="shared" si="25"/>
        <v>188</v>
      </c>
      <c r="F412" s="70">
        <v>195</v>
      </c>
      <c r="G412" s="96">
        <f t="shared" si="26"/>
        <v>1.92</v>
      </c>
      <c r="H412" s="96">
        <v>1.6</v>
      </c>
      <c r="I412" s="70"/>
    </row>
    <row r="413" spans="1:9" x14ac:dyDescent="0.2">
      <c r="A413" s="71">
        <v>700</v>
      </c>
      <c r="B413" s="96"/>
      <c r="C413" s="96">
        <v>93</v>
      </c>
      <c r="D413" s="101">
        <v>30</v>
      </c>
      <c r="E413" s="70">
        <f t="shared" si="25"/>
        <v>186</v>
      </c>
      <c r="F413" s="70">
        <v>192</v>
      </c>
      <c r="G413" s="96">
        <f t="shared" si="26"/>
        <v>2.2799999999999998</v>
      </c>
      <c r="H413" s="96">
        <v>1.9</v>
      </c>
      <c r="I413" s="70"/>
    </row>
    <row r="414" spans="1:9" x14ac:dyDescent="0.2">
      <c r="A414" s="71">
        <v>900</v>
      </c>
      <c r="B414" s="96"/>
      <c r="C414" s="96">
        <v>91</v>
      </c>
      <c r="D414" s="101">
        <v>30</v>
      </c>
      <c r="E414" s="70">
        <f t="shared" si="25"/>
        <v>182</v>
      </c>
      <c r="F414" s="70">
        <v>190</v>
      </c>
      <c r="G414" s="96">
        <f t="shared" si="26"/>
        <v>2.64</v>
      </c>
      <c r="H414" s="96">
        <v>2.2000000000000002</v>
      </c>
      <c r="I414" s="70"/>
    </row>
    <row r="415" spans="1:9" x14ac:dyDescent="0.2">
      <c r="A415" s="71">
        <v>1100</v>
      </c>
      <c r="B415" s="96"/>
      <c r="C415" s="96">
        <v>89.5</v>
      </c>
      <c r="D415" s="101">
        <v>30</v>
      </c>
      <c r="E415" s="70">
        <f t="shared" si="25"/>
        <v>179</v>
      </c>
      <c r="F415" s="70">
        <v>188</v>
      </c>
      <c r="G415" s="96">
        <f t="shared" si="26"/>
        <v>3.12</v>
      </c>
      <c r="H415" s="96">
        <v>2.6</v>
      </c>
      <c r="I415" s="70"/>
    </row>
    <row r="416" spans="1:9" x14ac:dyDescent="0.2">
      <c r="A416" s="71">
        <v>1300</v>
      </c>
      <c r="B416" s="96"/>
      <c r="C416" s="96">
        <v>88</v>
      </c>
      <c r="D416" s="101">
        <v>30</v>
      </c>
      <c r="E416" s="70">
        <f t="shared" si="25"/>
        <v>176</v>
      </c>
      <c r="F416" s="70">
        <v>187</v>
      </c>
      <c r="G416" s="96">
        <f t="shared" si="26"/>
        <v>3.5999999999999996</v>
      </c>
      <c r="H416" s="96">
        <v>3</v>
      </c>
      <c r="I416" s="70"/>
    </row>
    <row r="417" spans="1:9" x14ac:dyDescent="0.2">
      <c r="A417" s="71">
        <v>1500</v>
      </c>
      <c r="B417" s="96"/>
      <c r="C417" s="96">
        <v>86</v>
      </c>
      <c r="D417" s="101">
        <v>30</v>
      </c>
      <c r="E417" s="70">
        <f t="shared" si="25"/>
        <v>172</v>
      </c>
      <c r="F417" s="70">
        <v>180</v>
      </c>
      <c r="G417" s="96">
        <f t="shared" si="26"/>
        <v>3.84</v>
      </c>
      <c r="H417" s="96">
        <v>3.2</v>
      </c>
      <c r="I417" s="70"/>
    </row>
    <row r="418" spans="1:9" x14ac:dyDescent="0.2">
      <c r="A418" s="70"/>
      <c r="B418" s="70"/>
      <c r="C418" s="70"/>
      <c r="D418" s="70"/>
      <c r="E418" s="70"/>
      <c r="F418" s="70"/>
      <c r="G418" s="70"/>
      <c r="H418" s="70"/>
      <c r="I418" s="70"/>
    </row>
    <row r="419" spans="1:9" x14ac:dyDescent="0.2">
      <c r="A419" s="70"/>
      <c r="B419" s="70"/>
      <c r="C419" s="70"/>
      <c r="D419" s="70"/>
      <c r="E419" s="70"/>
      <c r="F419" s="70"/>
      <c r="G419" s="70"/>
      <c r="H419" s="70"/>
      <c r="I419" s="70"/>
    </row>
  </sheetData>
  <sheetProtection selectLockedCells="1"/>
  <protectedRanges>
    <protectedRange sqref="C320:C321 C370:C371 C209:C228 C259:C271" name="Range1_1"/>
    <protectedRange sqref="B320:B321 B370:B371 B209:B228 B259:B271" name="Range1_2"/>
    <protectedRange sqref="B309:B319 B359:B369 B409:B417" name="Range1"/>
    <protectedRange sqref="C309:C319 C359:C369 C409:C417" name="Range1_3"/>
    <protectedRange sqref="G309:G319 G359:G369 G409:H417" name="Range1_4"/>
  </protectedRanges>
  <pageMargins left="0.7" right="0.7" top="0.75" bottom="0.75" header="0.3" footer="0.3"/>
  <pageSetup scale="1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DD74B38D1E04BAACCBE2F440FA6A3" ma:contentTypeVersion="10" ma:contentTypeDescription="Create a new document." ma:contentTypeScope="" ma:versionID="cd9d0051c37dca7116630aaece4387a8">
  <xsd:schema xmlns:xsd="http://www.w3.org/2001/XMLSchema" xmlns:xs="http://www.w3.org/2001/XMLSchema" xmlns:p="http://schemas.microsoft.com/office/2006/metadata/properties" xmlns:ns2="b3561afa-cefe-4049-a22e-6a867bd744ab" xmlns:ns3="78378303-077c-497f-ae02-bc03df67cab3" targetNamespace="http://schemas.microsoft.com/office/2006/metadata/properties" ma:root="true" ma:fieldsID="4ea7608f291092020537bc94bd71fc7b" ns2:_="" ns3:_="">
    <xsd:import namespace="b3561afa-cefe-4049-a22e-6a867bd744ab"/>
    <xsd:import namespace="78378303-077c-497f-ae02-bc03df67c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Dat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61afa-cefe-4049-a22e-6a867bd74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" ma:index="13" nillable="true" ma:displayName="Date" ma:format="DateOnly" ma:internalName="Date">
      <xsd:simpleType>
        <xsd:restriction base="dms:DateTim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78303-077c-497f-ae02-bc03df67c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3561afa-cefe-4049-a22e-6a867bd744ab" xsi:nil="true"/>
  </documentManagement>
</p:properties>
</file>

<file path=customXml/itemProps1.xml><?xml version="1.0" encoding="utf-8"?>
<ds:datastoreItem xmlns:ds="http://schemas.openxmlformats.org/officeDocument/2006/customXml" ds:itemID="{BA780F9C-BCEC-4AA5-8E4C-07B541E61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343DCF-1769-449C-A028-7BB6DD959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61afa-cefe-4049-a22e-6a867bd744ab"/>
    <ds:schemaRef ds:uri="78378303-077c-497f-ae02-bc03df67c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A62E22-3A50-4DBA-8E99-236319D27B24}">
  <ds:schemaRefs>
    <ds:schemaRef ds:uri="http://schemas.microsoft.com/office/2006/metadata/properties"/>
    <ds:schemaRef ds:uri="http://schemas.microsoft.com/office/infopath/2007/PartnerControls"/>
    <ds:schemaRef ds:uri="b3561afa-cefe-4049-a22e-6a867bd744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7" baseType="lpstr">
      <vt:lpstr>PumpSize</vt:lpstr>
      <vt:lpstr>Flow Range</vt:lpstr>
      <vt:lpstr>Summary Data</vt:lpstr>
      <vt:lpstr>CalData</vt:lpstr>
      <vt:lpstr>SH Pumps</vt:lpstr>
      <vt:lpstr>DH Pumps</vt:lpstr>
      <vt:lpstr>SH-DH Pumps</vt:lpstr>
      <vt:lpstr>SH-DH Pumps (2)</vt:lpstr>
      <vt:lpstr>Bat.Cap</vt:lpstr>
      <vt:lpstr>Bat.Cap.Req</vt:lpstr>
      <vt:lpstr>Duty</vt:lpstr>
      <vt:lpstr>F.disch</vt:lpstr>
      <vt:lpstr>F.temp</vt:lpstr>
      <vt:lpstr>I.Avg</vt:lpstr>
      <vt:lpstr>I.Pavg</vt:lpstr>
      <vt:lpstr>I.Standby</vt:lpstr>
      <vt:lpstr>Locn</vt:lpstr>
      <vt:lpstr>Pavg</vt:lpstr>
      <vt:lpstr>Pwr.10.Day</vt:lpstr>
      <vt:lpstr>Pwr.Day</vt:lpstr>
      <vt:lpstr>Q</vt:lpstr>
      <vt:lpstr>Q.Pavg</vt:lpstr>
      <vt:lpstr>Rechrg.I</vt:lpstr>
      <vt:lpstr>Rechrg.Time</vt:lpstr>
      <vt:lpstr>t.cycle</vt:lpstr>
      <vt:lpstr>t.On</vt:lpstr>
      <vt:lpstr>V.Panel</vt:lpstr>
    </vt:vector>
  </TitlesOfParts>
  <Manager/>
  <Company>Noetic Engineering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Shute</dc:creator>
  <cp:keywords/>
  <dc:description/>
  <cp:lastModifiedBy>Mike Smith</cp:lastModifiedBy>
  <cp:revision/>
  <dcterms:created xsi:type="dcterms:W3CDTF">2005-01-25T15:39:59Z</dcterms:created>
  <dcterms:modified xsi:type="dcterms:W3CDTF">2021-03-19T18:13:30Z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G. Meijer</vt:lpwstr>
  </property>
  <property fmtid="{D5CDD505-2E9C-101B-9397-08002B2CF9AE}" pid="3" name="Client">
    <vt:lpwstr>Sirius Products Inc.</vt:lpwstr>
  </property>
  <property fmtid="{D5CDD505-2E9C-101B-9397-08002B2CF9AE}" pid="4" name="Date completed">
    <vt:lpwstr>March 22, 2006</vt:lpwstr>
  </property>
  <property fmtid="{D5CDD505-2E9C-101B-9397-08002B2CF9AE}" pid="5" name="_NewReviewCycle">
    <vt:lpwstr/>
  </property>
  <property fmtid="{D5CDD505-2E9C-101B-9397-08002B2CF9AE}" pid="6" name="ContentTypeId">
    <vt:lpwstr>0x010100570DD74B38D1E04BAACCBE2F440FA6A3</vt:lpwstr>
  </property>
  <property fmtid="{D5CDD505-2E9C-101B-9397-08002B2CF9AE}" pid="7" name="Order">
    <vt:r8>2462700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